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xr:revisionPtr revIDLastSave="0" documentId="8_{0098806F-EFDC-436F-9AAD-3D6F9E4A1F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RAW DAT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0" i="1" l="1"/>
  <c r="B149" i="1"/>
  <c r="B148" i="1"/>
  <c r="B147" i="1"/>
  <c r="B143" i="1"/>
  <c r="F138" i="1"/>
  <c r="F137" i="1"/>
  <c r="E139" i="1"/>
  <c r="E138" i="1"/>
  <c r="E137" i="1"/>
  <c r="C139" i="1"/>
  <c r="D139" i="1"/>
  <c r="B139" i="1"/>
  <c r="J148" i="1"/>
  <c r="C138" i="1"/>
  <c r="D138" i="1"/>
  <c r="B138" i="1"/>
  <c r="H146" i="1"/>
  <c r="I146" i="1"/>
  <c r="J146" i="1"/>
  <c r="I143" i="1"/>
  <c r="J143" i="1"/>
  <c r="H143" i="1"/>
  <c r="I142" i="1"/>
  <c r="C137" i="1" s="1"/>
  <c r="H142" i="1"/>
  <c r="B137" i="1" s="1"/>
  <c r="J153" i="1"/>
  <c r="J142" i="1" s="1"/>
  <c r="D137" i="1" s="1"/>
  <c r="B32" i="1"/>
  <c r="C29" i="1"/>
  <c r="D29" i="1"/>
  <c r="E29" i="1"/>
  <c r="F29" i="1"/>
  <c r="B29" i="1"/>
  <c r="C28" i="1"/>
  <c r="D28" i="1"/>
  <c r="E28" i="1"/>
  <c r="F28" i="1"/>
  <c r="B28" i="1"/>
  <c r="F53" i="1"/>
  <c r="E53" i="1"/>
  <c r="D53" i="1"/>
  <c r="C53" i="1"/>
  <c r="B53" i="1"/>
  <c r="C27" i="1"/>
  <c r="D27" i="1"/>
  <c r="E27" i="1"/>
  <c r="F27" i="1"/>
  <c r="B27" i="1"/>
  <c r="C26" i="1"/>
  <c r="D26" i="1"/>
  <c r="E26" i="1"/>
  <c r="F26" i="1"/>
  <c r="B26" i="1"/>
  <c r="C25" i="1"/>
  <c r="D25" i="1"/>
  <c r="E25" i="1"/>
  <c r="F25" i="1"/>
  <c r="B25" i="1"/>
  <c r="D24" i="1"/>
  <c r="E24" i="1"/>
  <c r="F24" i="1"/>
  <c r="C24" i="1"/>
  <c r="B4" i="1"/>
  <c r="F71" i="1"/>
  <c r="E71" i="1"/>
  <c r="D71" i="1"/>
  <c r="C71" i="1"/>
  <c r="B71" i="1"/>
  <c r="F69" i="1"/>
  <c r="E69" i="1"/>
  <c r="D69" i="1"/>
  <c r="C69" i="1"/>
  <c r="B69" i="1"/>
  <c r="F40" i="1"/>
  <c r="B78" i="1" s="1"/>
  <c r="F64" i="1"/>
  <c r="F63" i="1"/>
  <c r="E64" i="1"/>
  <c r="E63" i="1"/>
  <c r="D64" i="1"/>
  <c r="D63" i="1"/>
  <c r="C64" i="1"/>
  <c r="C63" i="1"/>
  <c r="B64" i="1"/>
  <c r="B63" i="1"/>
  <c r="A126" i="1"/>
  <c r="C60" i="1"/>
  <c r="C31" i="1" s="1"/>
  <c r="D60" i="1"/>
  <c r="D31" i="1" s="1"/>
  <c r="E60" i="1"/>
  <c r="E31" i="1" s="1"/>
  <c r="F60" i="1"/>
  <c r="F31" i="1" s="1"/>
  <c r="B60" i="1"/>
  <c r="B31" i="1" s="1"/>
  <c r="G29" i="1"/>
  <c r="G28" i="1"/>
  <c r="G27" i="1"/>
  <c r="G26" i="1"/>
  <c r="G24" i="1"/>
  <c r="E56" i="1"/>
  <c r="E30" i="1" s="1"/>
  <c r="D56" i="1"/>
  <c r="D30" i="1" s="1"/>
  <c r="C56" i="1"/>
  <c r="C30" i="1" s="1"/>
  <c r="B56" i="1"/>
  <c r="B30" i="1" s="1"/>
  <c r="F56" i="1"/>
  <c r="F30" i="1" s="1"/>
  <c r="B38" i="1" l="1"/>
  <c r="C38" i="1"/>
  <c r="D38" i="1"/>
  <c r="E38" i="1"/>
  <c r="F38" i="1"/>
  <c r="F39" i="1" s="1"/>
  <c r="B79" i="1" s="1"/>
  <c r="B65" i="1"/>
  <c r="B66" i="1"/>
  <c r="B67" i="1"/>
  <c r="C65" i="1"/>
  <c r="C66" i="1"/>
  <c r="C67" i="1"/>
  <c r="D65" i="1"/>
  <c r="D66" i="1"/>
  <c r="D67" i="1"/>
  <c r="E65" i="1"/>
  <c r="E66" i="1"/>
  <c r="E67" i="1"/>
  <c r="F65" i="1"/>
  <c r="F66" i="1"/>
  <c r="B81" i="1" s="1"/>
  <c r="F67" i="1"/>
  <c r="B80" i="1" s="1"/>
  <c r="F62" i="1"/>
  <c r="F32" i="1" s="1"/>
  <c r="C62" i="1"/>
  <c r="C32" i="1" s="1"/>
  <c r="D62" i="1"/>
  <c r="D32" i="1" s="1"/>
  <c r="E62" i="1"/>
  <c r="E32" i="1" s="1"/>
  <c r="G30" i="1"/>
  <c r="G25" i="1"/>
  <c r="F61" i="1"/>
  <c r="E61" i="1"/>
  <c r="D61" i="1"/>
  <c r="C61" i="1"/>
  <c r="G31" i="1"/>
  <c r="C4" i="1"/>
  <c r="C5" i="1"/>
  <c r="C77" i="1" l="1"/>
  <c r="D77" i="1" s="1"/>
  <c r="B97" i="1" s="1"/>
  <c r="C17" i="1"/>
  <c r="C18" i="1" s="1"/>
  <c r="G32" i="1"/>
  <c r="C16" i="1" s="1"/>
  <c r="C10" i="1"/>
  <c r="C9" i="1"/>
  <c r="C7" i="1"/>
  <c r="C8" i="1" s="1"/>
  <c r="C6" i="1"/>
  <c r="D4" i="1"/>
  <c r="C13" i="1" l="1"/>
  <c r="C11" i="1"/>
  <c r="D17" i="1"/>
  <c r="D18" i="1" s="1"/>
  <c r="D16" i="1"/>
  <c r="D10" i="1"/>
  <c r="D9" i="1"/>
  <c r="D7" i="1"/>
  <c r="E4" i="1"/>
  <c r="D5" i="1"/>
  <c r="C15" i="1" l="1"/>
  <c r="C19" i="1" s="1"/>
  <c r="C14" i="1"/>
  <c r="C87" i="1"/>
  <c r="C88" i="1" s="1"/>
  <c r="E17" i="1"/>
  <c r="E18" i="1" s="1"/>
  <c r="E16" i="1"/>
  <c r="D8" i="1"/>
  <c r="D6" i="1"/>
  <c r="E10" i="1"/>
  <c r="E9" i="1"/>
  <c r="E7" i="1"/>
  <c r="F4" i="1"/>
  <c r="E5" i="1"/>
  <c r="D13" i="1" l="1"/>
  <c r="D11" i="1"/>
  <c r="F17" i="1"/>
  <c r="F18" i="1" s="1"/>
  <c r="F16" i="1"/>
  <c r="E8" i="1"/>
  <c r="E6" i="1"/>
  <c r="F10" i="1"/>
  <c r="F9" i="1"/>
  <c r="F7" i="1"/>
  <c r="G4" i="1"/>
  <c r="F5" i="1"/>
  <c r="D15" i="1" l="1"/>
  <c r="D14" i="1"/>
  <c r="E13" i="1"/>
  <c r="E11" i="1"/>
  <c r="D19" i="1"/>
  <c r="D87" i="1" s="1"/>
  <c r="D88" i="1" s="1"/>
  <c r="G17" i="1"/>
  <c r="G18" i="1" s="1"/>
  <c r="G16" i="1"/>
  <c r="F8" i="1"/>
  <c r="F6" i="1"/>
  <c r="G10" i="1"/>
  <c r="G9" i="1"/>
  <c r="G7" i="1"/>
  <c r="G5" i="1"/>
  <c r="E15" i="1" l="1"/>
  <c r="E14" i="1"/>
  <c r="F13" i="1"/>
  <c r="F11" i="1"/>
  <c r="E19" i="1"/>
  <c r="E87" i="1" s="1"/>
  <c r="E88" i="1" s="1"/>
  <c r="G8" i="1"/>
  <c r="G6" i="1"/>
  <c r="F15" i="1" l="1"/>
  <c r="F14" i="1"/>
  <c r="G13" i="1"/>
  <c r="G11" i="1"/>
  <c r="F19" i="1"/>
  <c r="F87" i="1" s="1"/>
  <c r="F88" i="1" s="1"/>
  <c r="G15" i="1" l="1"/>
  <c r="G14" i="1"/>
  <c r="G19" i="1"/>
  <c r="G87" i="1" s="1"/>
  <c r="B93" i="1" l="1"/>
  <c r="B94" i="1" s="1"/>
  <c r="B98" i="1" s="1"/>
  <c r="G88" i="1"/>
  <c r="H88" i="1" l="1"/>
  <c r="B100" i="1" s="1"/>
  <c r="B102" i="1" s="1"/>
  <c r="B104" i="1" s="1"/>
  <c r="C104" i="1" s="1"/>
  <c r="B105" i="1" s="1"/>
  <c r="B107" i="1" s="1"/>
</calcChain>
</file>

<file path=xl/sharedStrings.xml><?xml version="1.0" encoding="utf-8"?>
<sst xmlns="http://schemas.openxmlformats.org/spreadsheetml/2006/main" count="517" uniqueCount="293">
  <si>
    <t>Lafarge (WAPCO)</t>
  </si>
  <si>
    <t xml:space="preserve">DCF VALUATION </t>
  </si>
  <si>
    <t xml:space="preserve">Core Business revenue </t>
  </si>
  <si>
    <t xml:space="preserve">Cost of Revenue </t>
  </si>
  <si>
    <t>Gross Profile</t>
  </si>
  <si>
    <t>Opex</t>
  </si>
  <si>
    <t>EBITDA</t>
  </si>
  <si>
    <t xml:space="preserve">Finance Cost </t>
  </si>
  <si>
    <t>Dep &amp; Amort</t>
  </si>
  <si>
    <t>EBIT</t>
  </si>
  <si>
    <t>Taxes</t>
  </si>
  <si>
    <t>EBIT(1-TAX)</t>
  </si>
  <si>
    <t>CAPEX</t>
  </si>
  <si>
    <t xml:space="preserve">WORKING CAPITAL </t>
  </si>
  <si>
    <t>Change in Working Capital</t>
  </si>
  <si>
    <t>FCF</t>
  </si>
  <si>
    <t>Assumption</t>
  </si>
  <si>
    <t>Adjust</t>
  </si>
  <si>
    <t>Core Business Revenue Growth (%)</t>
  </si>
  <si>
    <t xml:space="preserve">Cost of Revenue /Revenue </t>
  </si>
  <si>
    <t>Opex/Revenue</t>
  </si>
  <si>
    <t>Finance Cost/Revenue</t>
  </si>
  <si>
    <t>Dep &amp; Amort/Revenue</t>
  </si>
  <si>
    <t>taxes/Revenue</t>
  </si>
  <si>
    <t>PPE or NON-Current Asset/Revenue</t>
  </si>
  <si>
    <t>working Capital/revenue</t>
  </si>
  <si>
    <t xml:space="preserve">CAPEX/REVENUE </t>
  </si>
  <si>
    <t xml:space="preserve">RISK FREE RATE </t>
  </si>
  <si>
    <t>RM(MARKET RETURN)</t>
  </si>
  <si>
    <t>MRP(RM-RFR)</t>
  </si>
  <si>
    <t>BETA</t>
  </si>
  <si>
    <t>TAX</t>
  </si>
  <si>
    <t>KD(PRE-TAX)</t>
  </si>
  <si>
    <t>KD(AFTER-TAX)</t>
  </si>
  <si>
    <t>KE(COST OF EQUITY)</t>
  </si>
  <si>
    <t xml:space="preserve">GROWTH </t>
  </si>
  <si>
    <t xml:space="preserve">DATA REQUIREMENT </t>
  </si>
  <si>
    <t>REVENUE</t>
  </si>
  <si>
    <t xml:space="preserve">COST OF REVENUE </t>
  </si>
  <si>
    <t>OPEX</t>
  </si>
  <si>
    <t>FINANCE COST  (Interest Expenses)</t>
  </si>
  <si>
    <t xml:space="preserve">DEP &amp; AMORT </t>
  </si>
  <si>
    <t>TAXES</t>
  </si>
  <si>
    <t>NON-CURRENT ASSET (PPE FOR BANKS)</t>
  </si>
  <si>
    <t>CURRENT ASSET (LOANS FOR BANKS)</t>
  </si>
  <si>
    <t>CURRENT LIABILITIES (DEPOSIT FOR BANKS)</t>
  </si>
  <si>
    <t xml:space="preserve">NO OF ORDINARY SHARES </t>
  </si>
  <si>
    <t>-</t>
  </si>
  <si>
    <t xml:space="preserve">CAPEX </t>
  </si>
  <si>
    <t>Shareholders' Equity</t>
  </si>
  <si>
    <t xml:space="preserve">TOTAL DEBT </t>
  </si>
  <si>
    <t>D+E</t>
  </si>
  <si>
    <t>E/(D+E) (equity weight)</t>
  </si>
  <si>
    <t>D/(D+E) (debt weight)</t>
  </si>
  <si>
    <t>RfR</t>
  </si>
  <si>
    <t>Interest Expense</t>
  </si>
  <si>
    <t>Cash &amp; Equivalents</t>
  </si>
  <si>
    <t>NET INCOME</t>
  </si>
  <si>
    <t>WACC</t>
  </si>
  <si>
    <t>WACC=D+EE​⋅Re​+D+ED​⋅Rd​⋅(1−T)</t>
  </si>
  <si>
    <t>COST OF EQUITY (DIVIDEND YIELDS VS CAPM)</t>
  </si>
  <si>
    <t xml:space="preserve">COST OF DEBT ADJUST FOR TAXES </t>
  </si>
  <si>
    <t xml:space="preserve">DEBT WEIGHT </t>
  </si>
  <si>
    <t xml:space="preserve"> (EQUITY WEIGHT)</t>
  </si>
  <si>
    <t>Discount FCF → Terminal Value → Enterprise Value → Equity Value → Share Price</t>
  </si>
  <si>
    <t>DISCOUNT EACH FCF : PV=FCF/(1+WACC)^T</t>
  </si>
  <si>
    <t>WACC = 22% (0.22)</t>
  </si>
  <si>
    <t>PV(FCF)</t>
  </si>
  <si>
    <t>DFCF</t>
  </si>
  <si>
    <t>TERMINAL VALUE (FCF*(1+G)/WACC-G))</t>
  </si>
  <si>
    <t>TV</t>
  </si>
  <si>
    <t>DISCOUNT TERMINAL VALUE : PV(TV)</t>
  </si>
  <si>
    <t>(1+WACC)^5</t>
  </si>
  <si>
    <t>PV(TV)</t>
  </si>
  <si>
    <t>ENTERPRISE VALUE : PV(FCF) + PV(TV)</t>
  </si>
  <si>
    <t>EQUITY VALUE : EV + CASH - DEBT</t>
  </si>
  <si>
    <t>SHARE PRICE (EQUITY VALUE / SHARE)</t>
  </si>
  <si>
    <t>INTRINSIC VALUE (SHARE PRICE)</t>
  </si>
  <si>
    <t>Market price = what people are paying</t>
  </si>
  <si>
    <t xml:space="preserve">UPSIDE (%) (INTRINSIC VALUE - MARKET PRICE)/ MARKET PRICE </t>
  </si>
  <si>
    <t>DCF = what the company is worth</t>
  </si>
  <si>
    <r>
      <rPr>
        <b/>
        <sz val="11"/>
        <color rgb="FF000000"/>
        <rFont val="Calibri"/>
        <scheme val="minor"/>
      </rPr>
      <t>The base year (2025) revenue is actual, while operating assumptions (cost margins, opex, D&amp;A, tax, capex, and working capital) are derived using the median of historical performance (2021–2025)</t>
    </r>
    <r>
      <rPr>
        <sz val="11"/>
        <color rgb="FF000000"/>
        <rFont val="Calibri"/>
        <scheme val="minor"/>
      </rPr>
      <t xml:space="preserve"> to normalize volatility and improve forecast reliability</t>
    </r>
  </si>
  <si>
    <t>Type of Business</t>
  </si>
  <si>
    <t>Beta</t>
  </si>
  <si>
    <t>Economy</t>
  </si>
  <si>
    <t>Cement Demand</t>
  </si>
  <si>
    <t>Utilities (stable)</t>
  </si>
  <si>
    <t>0.3–0.6</t>
  </si>
  <si>
    <t>Growth</t>
  </si>
  <si>
    <t>High</t>
  </si>
  <si>
    <t>Consumer staples</t>
  </si>
  <si>
    <t>0.6–0.9</t>
  </si>
  <si>
    <t>Recession</t>
  </si>
  <si>
    <t>Low</t>
  </si>
  <si>
    <t>Cement / industrial</t>
  </si>
  <si>
    <t>0.9–1.2</t>
  </si>
  <si>
    <t>Tech / growth</t>
  </si>
  <si>
    <t>1.2–2.0</t>
  </si>
  <si>
    <t>WHY CEMENT = CYCLICAL</t>
  </si>
  <si>
    <t>Cement demand depends on:</t>
  </si>
  <si>
    <t>Construction</t>
  </si>
  <si>
    <t>Nigeria equity return ≈ 18% – 25%</t>
  </si>
  <si>
    <t>MRP (Damodaran is the gold standard)</t>
  </si>
  <si>
    <t>Infrastructure</t>
  </si>
  <si>
    <t>Midpoint = (Low + High) / 2 = 0.215</t>
  </si>
  <si>
    <t>NIGERIA MRP ≈ 6% – 8%</t>
  </si>
  <si>
    <t>Government spending</t>
  </si>
  <si>
    <t>WE WILL USE 7% (MEDIAN)</t>
  </si>
  <si>
    <t>21.50% approx 22%</t>
  </si>
  <si>
    <t>BETA (0.9–1.2)</t>
  </si>
  <si>
    <t xml:space="preserve">1.2 (IS TO VOLATILE), INSTEAD WE USE 1.1 </t>
  </si>
  <si>
    <t>(0.9-1.1) THE MEDIAN WITHIN THE TWO IS 1.0</t>
  </si>
  <si>
    <t>BETA = 1.0</t>
  </si>
  <si>
    <t>RELATIVE VALUATION</t>
  </si>
  <si>
    <t>DANGOTE</t>
  </si>
  <si>
    <t xml:space="preserve">BUA CEMENT </t>
  </si>
  <si>
    <t xml:space="preserve">LAFARGE CEMENT </t>
  </si>
  <si>
    <t>ADJUST (MEDIAN)</t>
  </si>
  <si>
    <t>RV (TESTING)</t>
  </si>
  <si>
    <t>P/E = Share Price / EPS</t>
  </si>
  <si>
    <t>EV/EBITDA = Enterprise Value / EBITDA</t>
  </si>
  <si>
    <t>EV/Revenue = Enterprise Value / Revenue</t>
  </si>
  <si>
    <t xml:space="preserve">DANGOTE CEMENT </t>
  </si>
  <si>
    <t xml:space="preserve">SHAREC PRICE </t>
  </si>
  <si>
    <t>EPS = Net Income / Shares</t>
  </si>
  <si>
    <t>VALUE (0.5*DCF+0.5*RV)</t>
  </si>
  <si>
    <t>MARKET CAP (share price * share outstanding)</t>
  </si>
  <si>
    <t xml:space="preserve">DEBIT </t>
  </si>
  <si>
    <t>CASH</t>
  </si>
  <si>
    <t>FINAL RESULT</t>
  </si>
  <si>
    <t>EV(MARKET CAP + DEBT - CASH)</t>
  </si>
  <si>
    <t>DCF</t>
  </si>
  <si>
    <t xml:space="preserve">FINAL VALUE </t>
  </si>
  <si>
    <t xml:space="preserve">MARKET PRICE </t>
  </si>
  <si>
    <t xml:space="preserve">RESULT MEANING </t>
  </si>
  <si>
    <t>ANALYSIS</t>
  </si>
  <si>
    <t xml:space="preserve">net income </t>
  </si>
  <si>
    <t>The stock is OVERVALUED. BECAUSE (Intrinsic Value (₦146) &lt; Market Price (₦243))</t>
  </si>
  <si>
    <t>“Lafarge is trading above its intrinsic value, suggesting limited upside and potential downside risk.''</t>
  </si>
  <si>
    <t>Why is market (₦243) higher than DCF (₦49.9)?</t>
  </si>
  <si>
    <t xml:space="preserve">share outstanding </t>
  </si>
  <si>
    <t xml:space="preserve">ANALYSIS QUESTIONS </t>
  </si>
  <si>
    <t>Growth used was 4% but Market believe in 10% -15%</t>
  </si>
  <si>
    <t>WACC is High (22%), if wacc is high values will be LOW</t>
  </si>
  <si>
    <t>Fiscal Year</t>
  </si>
  <si>
    <t>FY 2025</t>
  </si>
  <si>
    <t>FY 2024</t>
  </si>
  <si>
    <t>FY 2023</t>
  </si>
  <si>
    <t>FY 2022</t>
  </si>
  <si>
    <t>FY 2021</t>
  </si>
  <si>
    <t>2016 - 2020</t>
  </si>
  <si>
    <t>Period Ending</t>
  </si>
  <si>
    <t>Revenue</t>
  </si>
  <si>
    <t>Upgrade</t>
  </si>
  <si>
    <t>Revenue Growth (YoY)</t>
  </si>
  <si>
    <t>Cost of Revenue</t>
  </si>
  <si>
    <t>Gross Profit</t>
  </si>
  <si>
    <t>Selling, General &amp; Admin</t>
  </si>
  <si>
    <t>Other Operating Expenses</t>
  </si>
  <si>
    <t>Operating Expenses</t>
  </si>
  <si>
    <t>Operating Income</t>
  </si>
  <si>
    <t>Interest &amp; Investment Income</t>
  </si>
  <si>
    <t>Earnings From Equity Investments</t>
  </si>
  <si>
    <t>Currency Exchange Gain (Loss)</t>
  </si>
  <si>
    <t>Other Non Operating Income (Expenses)</t>
  </si>
  <si>
    <t>EBT Excluding Unusual Items</t>
  </si>
  <si>
    <t>Gain (Loss) on Sale of Investments</t>
  </si>
  <si>
    <t>Gain (Loss) on Sale of Assets</t>
  </si>
  <si>
    <t>Asset Writedown</t>
  </si>
  <si>
    <t>ALR</t>
  </si>
  <si>
    <t>Pretax Income</t>
  </si>
  <si>
    <t>Income Tax Expense</t>
  </si>
  <si>
    <t>Earnings From Continuing Operations</t>
  </si>
  <si>
    <t>Net Income to Company</t>
  </si>
  <si>
    <t>Net Income</t>
  </si>
  <si>
    <t>Net Income to Common</t>
  </si>
  <si>
    <t>Net Income Growth</t>
  </si>
  <si>
    <t>Shares Outstanding (Basic)</t>
  </si>
  <si>
    <t>Shares Outstanding (Diluted)</t>
  </si>
  <si>
    <t>EPS (Basic)</t>
  </si>
  <si>
    <t>EPS (Diluted)</t>
  </si>
  <si>
    <t>EPS Growth</t>
  </si>
  <si>
    <t>Free Cash Flow</t>
  </si>
  <si>
    <t>Free Cash Flow Per Share</t>
  </si>
  <si>
    <t>Dividend Per Share</t>
  </si>
  <si>
    <t>Dividend Growth</t>
  </si>
  <si>
    <t>Gross Margin</t>
  </si>
  <si>
    <t>Operating Margin</t>
  </si>
  <si>
    <t>Profit Margin</t>
  </si>
  <si>
    <t>Free Cash Flow Margin</t>
  </si>
  <si>
    <t>EBITDA Margin</t>
  </si>
  <si>
    <t>D&amp;A For EBITDA</t>
  </si>
  <si>
    <t>EBIT Margin</t>
  </si>
  <si>
    <t>Effective Tax Rate</t>
  </si>
  <si>
    <t>Advertising Expenses</t>
  </si>
  <si>
    <t xml:space="preserve">balance sheet </t>
  </si>
  <si>
    <t>Cash &amp; Short-Term Investments</t>
  </si>
  <si>
    <t>Cash Growth</t>
  </si>
  <si>
    <t>Accounts Receivable</t>
  </si>
  <si>
    <t>Other Receivables</t>
  </si>
  <si>
    <t>Receivables</t>
  </si>
  <si>
    <t>Inventory</t>
  </si>
  <si>
    <t>Restricted Cash</t>
  </si>
  <si>
    <t>Other Current Assets</t>
  </si>
  <si>
    <t>Total Current Assets</t>
  </si>
  <si>
    <t>Property, Plant &amp; Equipment</t>
  </si>
  <si>
    <t>Other Intangible Assets</t>
  </si>
  <si>
    <t>Long-Term Deferred Tax Assets</t>
  </si>
  <si>
    <t>Other Long-Term Assets</t>
  </si>
  <si>
    <t>Total Assets</t>
  </si>
  <si>
    <t>Accounts Payable</t>
  </si>
  <si>
    <t>Accrued Expenses</t>
  </si>
  <si>
    <t>Short-Term Debt</t>
  </si>
  <si>
    <t>Current Portion of Long-Term Debt</t>
  </si>
  <si>
    <t>Current Portion of Leases</t>
  </si>
  <si>
    <t>Current Income Taxes Payable</t>
  </si>
  <si>
    <t>Current Unearned Revenue</t>
  </si>
  <si>
    <t>Other Current Liabilities</t>
  </si>
  <si>
    <t>Total Current Liabilities</t>
  </si>
  <si>
    <t>Long-Term Debt</t>
  </si>
  <si>
    <t>Long-Term Leases</t>
  </si>
  <si>
    <t>Long-Term Unearned Revenue</t>
  </si>
  <si>
    <t>Pension &amp; Post-Retirement Benefits</t>
  </si>
  <si>
    <t>Long-Term Deferred Tax Liabilities</t>
  </si>
  <si>
    <t>Other Long-Term Liabilities</t>
  </si>
  <si>
    <t>Total Liabilities</t>
  </si>
  <si>
    <t>Common Stock</t>
  </si>
  <si>
    <t>Additional Paid-In Capital</t>
  </si>
  <si>
    <t>Retained Earnings</t>
  </si>
  <si>
    <t>Comprehensive Income &amp; Other</t>
  </si>
  <si>
    <t>Total Common Equity</t>
  </si>
  <si>
    <t>Total Liabilities &amp; Equity</t>
  </si>
  <si>
    <t>Total Debt</t>
  </si>
  <si>
    <t>Net Cash (Debt)</t>
  </si>
  <si>
    <t>Net Cash Growth</t>
  </si>
  <si>
    <t>Net Cash Per Share</t>
  </si>
  <si>
    <t>Filing Date Shares Outstanding</t>
  </si>
  <si>
    <t>Total Common Shares Outstanding</t>
  </si>
  <si>
    <t>Working Capital</t>
  </si>
  <si>
    <t>Book Value Per Share</t>
  </si>
  <si>
    <t>Tangible Book Value</t>
  </si>
  <si>
    <t>Tangible Book Value Per Share</t>
  </si>
  <si>
    <t>Land</t>
  </si>
  <si>
    <t>Buildings</t>
  </si>
  <si>
    <t>Machinery</t>
  </si>
  <si>
    <t xml:space="preserve">CASH FLOW STATEMENT </t>
  </si>
  <si>
    <t>Depreciation &amp; Amortization</t>
  </si>
  <si>
    <t>Other Amortization</t>
  </si>
  <si>
    <t>Loss (Gain) From Sale of Assets</t>
  </si>
  <si>
    <t>Asset Writedown &amp; Restructuring Costs</t>
  </si>
  <si>
    <t>Loss (Gain) From Sale of Investments</t>
  </si>
  <si>
    <t>Loss (Gain) on Equity Investments</t>
  </si>
  <si>
    <t>Provision &amp; Write-off of Bad Debts</t>
  </si>
  <si>
    <t>Other Operating Activities</t>
  </si>
  <si>
    <t>Change in Accounts Receivable</t>
  </si>
  <si>
    <t>Change in Inventory</t>
  </si>
  <si>
    <t>Change in Accounts Payable</t>
  </si>
  <si>
    <t>Change in Unearned Revenue</t>
  </si>
  <si>
    <t>Change in Other Net Operating Assets</t>
  </si>
  <si>
    <t>Operating Cash Flow</t>
  </si>
  <si>
    <t>Operating Cash Flow Growth</t>
  </si>
  <si>
    <t>Capital Expenditures</t>
  </si>
  <si>
    <t>Sale of Property, Plant &amp; Equipment</t>
  </si>
  <si>
    <t>Investment in Securities</t>
  </si>
  <si>
    <t>Other Investing Activities</t>
  </si>
  <si>
    <t>Investing Cash Flow</t>
  </si>
  <si>
    <t>Long-Term Debt Issued</t>
  </si>
  <si>
    <t>Long-Term Debt Repaid</t>
  </si>
  <si>
    <t>Net Debt Issued (Repaid)</t>
  </si>
  <si>
    <t>Common Dividends Paid</t>
  </si>
  <si>
    <t>Other Financing Activities</t>
  </si>
  <si>
    <t>Financing Cash Flow</t>
  </si>
  <si>
    <t>Foreign Exchange Rate Adjustments</t>
  </si>
  <si>
    <t>Miscellaneous Cash Flow Adjustments</t>
  </si>
  <si>
    <t>Net Cash Flow</t>
  </si>
  <si>
    <t>Free Cash Flow Growth</t>
  </si>
  <si>
    <t>Cash Interest Paid</t>
  </si>
  <si>
    <t>Cash Income Tax Paid</t>
  </si>
  <si>
    <t>Levered Free Cash Flow</t>
  </si>
  <si>
    <t>Unlevered Free Cash Flow</t>
  </si>
  <si>
    <t xml:space="preserve">CEMMENT INDUSTRY IS CYCLICAL : </t>
  </si>
  <si>
    <t xml:space="preserve">Driven By (Construction, Infrastructure, Govt Spending) </t>
  </si>
  <si>
    <t xml:space="preserve">MARKET MAY BE EXPERINCING A BOOM CYCLE </t>
  </si>
  <si>
    <t xml:space="preserve">RELATIVE VALUATION </t>
  </si>
  <si>
    <t>Peers are trading high → Lafarge pulled up</t>
  </si>
  <si>
    <t xml:space="preserve">CONSERVATIVE ANALYST : INVESTMENT DECISON </t>
  </si>
  <si>
    <t>SELL</t>
  </si>
  <si>
    <t xml:space="preserve">STOCK IS OVERVALUE VS INTRINSIC VALUE </t>
  </si>
  <si>
    <t xml:space="preserve">BALANCE ANALYST: </t>
  </si>
  <si>
    <t xml:space="preserve">HOLD </t>
  </si>
  <si>
    <t xml:space="preserve">DCF IS UNDERVALUED, MARKET IS PRICING STRONG GROWTH </t>
  </si>
  <si>
    <t xml:space="preserve">CONCLUSION : </t>
  </si>
  <si>
    <t>Lafarge Africa appears overvalued based on DCF valuation, with intrinsic value of ₦49.9 and blended value of ₦146.45, compared to current market price of ₦243.    However, relative valuation suggests that market pricing reflects strong growth expectations and industry dynamics.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</si>
</sst>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3.5"/>
      <color rgb="FF111827"/>
      <name val="Ui-Sans-Serif"/>
      <charset val="1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.5"/>
      <color rgb="FF6B7280"/>
      <name val="Ui-Sans-Serif"/>
      <charset val="1"/>
    </font>
    <font>
      <sz val="13.5"/>
      <color rgb="FF15803D"/>
      <name val="Ui-Sans-Serif"/>
      <charset val="1"/>
    </font>
    <font>
      <sz val="13.5"/>
      <color rgb="FFDC2626"/>
      <name val="Ui-Sans-Serif"/>
      <charset val="1"/>
    </font>
    <font>
      <b/>
      <sz val="13.5"/>
      <color rgb="FF111827"/>
      <name val="Ui-Sans-Serif"/>
      <charset val="1"/>
    </font>
    <font>
      <b/>
      <sz val="11"/>
      <color rgb="FF242424"/>
      <name val="Aptos Narrow"/>
      <charset val="1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FF0000"/>
      <name val="Calibri Light"/>
      <scheme val="major"/>
    </font>
    <font>
      <sz val="12"/>
      <color rgb="FF111827"/>
      <name val="Ui-Sans-Serif"/>
      <charset val="1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2F9FF"/>
        <bgColor indexed="64"/>
      </patternFill>
    </fill>
    <fill>
      <patternFill patternType="solid">
        <fgColor rgb="FFF6F7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A9D08E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/>
      <top style="thick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 style="thick">
        <color rgb="FFD1D5DB"/>
      </bottom>
      <diagonal/>
    </border>
    <border>
      <left/>
      <right/>
      <top style="thin">
        <color rgb="FFD1D5DB"/>
      </top>
      <bottom style="thick">
        <color rgb="FFD1D5DB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6">
    <xf numFmtId="0" fontId="0" fillId="0" borderId="0" xfId="0"/>
    <xf numFmtId="3" fontId="1" fillId="2" borderId="1" xfId="0" applyNumberFormat="1" applyFont="1" applyFill="1" applyBorder="1"/>
    <xf numFmtId="0" fontId="2" fillId="0" borderId="0" xfId="0" applyFont="1"/>
    <xf numFmtId="0" fontId="1" fillId="3" borderId="5" xfId="0" applyFont="1" applyFill="1" applyBorder="1"/>
    <xf numFmtId="10" fontId="7" fillId="4" borderId="5" xfId="0" applyNumberFormat="1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3" fontId="1" fillId="4" borderId="1" xfId="0" applyNumberFormat="1" applyFont="1" applyFill="1" applyBorder="1"/>
    <xf numFmtId="0" fontId="1" fillId="4" borderId="1" xfId="0" quotePrefix="1" applyFont="1" applyFill="1" applyBorder="1"/>
    <xf numFmtId="10" fontId="7" fillId="4" borderId="1" xfId="0" applyNumberFormat="1" applyFont="1" applyFill="1" applyBorder="1"/>
    <xf numFmtId="10" fontId="8" fillId="4" borderId="1" xfId="0" applyNumberFormat="1" applyFont="1" applyFill="1" applyBorder="1"/>
    <xf numFmtId="10" fontId="8" fillId="4" borderId="5" xfId="0" applyNumberFormat="1" applyFont="1" applyFill="1" applyBorder="1"/>
    <xf numFmtId="0" fontId="1" fillId="4" borderId="5" xfId="0" applyFont="1" applyFill="1" applyBorder="1"/>
    <xf numFmtId="0" fontId="1" fillId="4" borderId="5" xfId="0" quotePrefix="1" applyFont="1" applyFill="1" applyBorder="1"/>
    <xf numFmtId="10" fontId="1" fillId="4" borderId="1" xfId="0" applyNumberFormat="1" applyFont="1" applyFill="1" applyBorder="1"/>
    <xf numFmtId="10" fontId="1" fillId="4" borderId="5" xfId="0" applyNumberFormat="1" applyFont="1" applyFill="1" applyBorder="1"/>
    <xf numFmtId="0" fontId="1" fillId="2" borderId="1" xfId="0" applyFont="1" applyFill="1" applyBorder="1"/>
    <xf numFmtId="0" fontId="0" fillId="4" borderId="0" xfId="0" applyFill="1"/>
    <xf numFmtId="0" fontId="9" fillId="3" borderId="8" xfId="0" applyFont="1" applyFill="1" applyBorder="1"/>
    <xf numFmtId="3" fontId="9" fillId="4" borderId="8" xfId="0" applyNumberFormat="1" applyFont="1" applyFill="1" applyBorder="1"/>
    <xf numFmtId="0" fontId="9" fillId="3" borderId="1" xfId="0" applyFont="1" applyFill="1" applyBorder="1"/>
    <xf numFmtId="3" fontId="9" fillId="4" borderId="1" xfId="0" applyNumberFormat="1" applyFont="1" applyFill="1" applyBorder="1"/>
    <xf numFmtId="3" fontId="1" fillId="4" borderId="5" xfId="0" applyNumberFormat="1" applyFont="1" applyFill="1" applyBorder="1"/>
    <xf numFmtId="3" fontId="0" fillId="0" borderId="0" xfId="0" applyNumberFormat="1"/>
    <xf numFmtId="10" fontId="0" fillId="0" borderId="0" xfId="0" applyNumberFormat="1"/>
    <xf numFmtId="0" fontId="10" fillId="0" borderId="0" xfId="0" applyFont="1"/>
    <xf numFmtId="0" fontId="2" fillId="0" borderId="0" xfId="0" applyFont="1" applyAlignment="1">
      <alignment wrapText="1"/>
    </xf>
    <xf numFmtId="0" fontId="4" fillId="5" borderId="0" xfId="0" applyFont="1" applyFill="1"/>
    <xf numFmtId="0" fontId="3" fillId="5" borderId="0" xfId="0" applyFont="1" applyFill="1"/>
    <xf numFmtId="43" fontId="0" fillId="0" borderId="0" xfId="0" applyNumberFormat="1"/>
    <xf numFmtId="164" fontId="0" fillId="6" borderId="0" xfId="0" applyNumberFormat="1" applyFill="1"/>
    <xf numFmtId="0" fontId="0" fillId="6" borderId="0" xfId="0" applyFill="1"/>
    <xf numFmtId="43" fontId="0" fillId="6" borderId="0" xfId="0" applyNumberFormat="1" applyFill="1"/>
    <xf numFmtId="3" fontId="0" fillId="6" borderId="0" xfId="0" applyNumberFormat="1" applyFill="1"/>
    <xf numFmtId="0" fontId="2" fillId="7" borderId="0" xfId="0" applyFont="1" applyFill="1"/>
    <xf numFmtId="0" fontId="0" fillId="7" borderId="0" xfId="0" applyFill="1"/>
    <xf numFmtId="0" fontId="0" fillId="8" borderId="0" xfId="0" applyFill="1"/>
    <xf numFmtId="0" fontId="2" fillId="9" borderId="0" xfId="0" applyFont="1" applyFill="1"/>
    <xf numFmtId="10" fontId="2" fillId="0" borderId="0" xfId="0" applyNumberFormat="1" applyFont="1"/>
    <xf numFmtId="10" fontId="2" fillId="9" borderId="0" xfId="0" applyNumberFormat="1" applyFont="1" applyFill="1"/>
    <xf numFmtId="0" fontId="0" fillId="10" borderId="0" xfId="0" applyFill="1" applyAlignment="1">
      <alignment wrapText="1"/>
    </xf>
    <xf numFmtId="0" fontId="0" fillId="11" borderId="0" xfId="0" applyFill="1"/>
    <xf numFmtId="0" fontId="2" fillId="6" borderId="0" xfId="0" applyFont="1" applyFill="1"/>
    <xf numFmtId="0" fontId="2" fillId="6" borderId="0" xfId="0" applyFont="1" applyFill="1" applyAlignment="1">
      <alignment wrapText="1"/>
    </xf>
    <xf numFmtId="3" fontId="2" fillId="0" borderId="0" xfId="0" applyNumberFormat="1" applyFont="1"/>
    <xf numFmtId="10" fontId="2" fillId="6" borderId="0" xfId="0" applyNumberFormat="1" applyFont="1" applyFill="1"/>
    <xf numFmtId="3" fontId="2" fillId="6" borderId="0" xfId="0" applyNumberFormat="1" applyFont="1" applyFill="1"/>
    <xf numFmtId="9" fontId="0" fillId="6" borderId="0" xfId="0" applyNumberFormat="1" applyFill="1"/>
    <xf numFmtId="10" fontId="0" fillId="6" borderId="0" xfId="0" applyNumberFormat="1" applyFill="1"/>
    <xf numFmtId="10" fontId="0" fillId="12" borderId="0" xfId="0" applyNumberFormat="1" applyFill="1"/>
    <xf numFmtId="9" fontId="0" fillId="12" borderId="0" xfId="0" applyNumberFormat="1" applyFill="1"/>
    <xf numFmtId="0" fontId="4" fillId="5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2" fillId="13" borderId="0" xfId="0" applyFont="1" applyFill="1"/>
    <xf numFmtId="164" fontId="0" fillId="0" borderId="0" xfId="0" applyNumberFormat="1"/>
    <xf numFmtId="0" fontId="2" fillId="14" borderId="0" xfId="0" applyFont="1" applyFill="1"/>
    <xf numFmtId="0" fontId="0" fillId="14" borderId="0" xfId="0" applyFill="1"/>
    <xf numFmtId="164" fontId="0" fillId="14" borderId="0" xfId="0" applyNumberFormat="1" applyFill="1"/>
    <xf numFmtId="0" fontId="2" fillId="10" borderId="0" xfId="0" applyFont="1" applyFill="1"/>
    <xf numFmtId="3" fontId="0" fillId="14" borderId="0" xfId="0" applyNumberFormat="1" applyFill="1"/>
    <xf numFmtId="43" fontId="0" fillId="14" borderId="0" xfId="0" applyNumberFormat="1" applyFill="1"/>
    <xf numFmtId="0" fontId="6" fillId="14" borderId="4" xfId="0" applyFont="1" applyFill="1" applyBorder="1"/>
    <xf numFmtId="0" fontId="2" fillId="15" borderId="0" xfId="0" applyFont="1" applyFill="1"/>
    <xf numFmtId="43" fontId="0" fillId="15" borderId="0" xfId="0" applyNumberFormat="1" applyFill="1"/>
    <xf numFmtId="0" fontId="1" fillId="3" borderId="0" xfId="0" applyFont="1" applyFill="1"/>
    <xf numFmtId="3" fontId="1" fillId="4" borderId="0" xfId="0" applyNumberFormat="1" applyFont="1" applyFill="1"/>
    <xf numFmtId="0" fontId="6" fillId="14" borderId="0" xfId="0" applyFont="1" applyFill="1"/>
    <xf numFmtId="0" fontId="0" fillId="15" borderId="0" xfId="0" applyFill="1"/>
    <xf numFmtId="3" fontId="0" fillId="15" borderId="0" xfId="0" applyNumberFormat="1" applyFill="1"/>
    <xf numFmtId="0" fontId="14" fillId="0" borderId="0" xfId="0" applyFont="1"/>
    <xf numFmtId="0" fontId="15" fillId="3" borderId="1" xfId="1" applyFont="1" applyFill="1" applyBorder="1" applyAlignment="1"/>
    <xf numFmtId="0" fontId="1" fillId="3" borderId="2" xfId="0" applyFont="1" applyFill="1" applyBorder="1"/>
    <xf numFmtId="0" fontId="1" fillId="3" borderId="3" xfId="0" applyFont="1" applyFill="1" applyBorder="1"/>
    <xf numFmtId="15" fontId="1" fillId="3" borderId="2" xfId="0" applyNumberFormat="1" applyFont="1" applyFill="1" applyBorder="1"/>
    <xf numFmtId="0" fontId="6" fillId="4" borderId="4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0" fontId="6" fillId="2" borderId="7" xfId="0" applyFont="1" applyFill="1" applyBorder="1"/>
    <xf numFmtId="2" fontId="0" fillId="6" borderId="0" xfId="0" applyNumberFormat="1" applyFill="1"/>
    <xf numFmtId="10" fontId="0" fillId="15" borderId="0" xfId="0" applyNumberFormat="1" applyFill="1"/>
    <xf numFmtId="0" fontId="0" fillId="16" borderId="0" xfId="0" applyFill="1"/>
    <xf numFmtId="3" fontId="17" fillId="0" borderId="0" xfId="0" applyNumberFormat="1" applyFont="1"/>
    <xf numFmtId="2" fontId="0" fillId="0" borderId="0" xfId="0" applyNumberFormat="1"/>
    <xf numFmtId="43" fontId="17" fillId="0" borderId="0" xfId="0" applyNumberFormat="1" applyFont="1"/>
    <xf numFmtId="0" fontId="2" fillId="17" borderId="0" xfId="0" applyFont="1" applyFill="1"/>
    <xf numFmtId="0" fontId="2" fillId="17" borderId="0" xfId="0" applyFont="1" applyFill="1" applyAlignment="1">
      <alignment wrapText="1"/>
    </xf>
    <xf numFmtId="0" fontId="0" fillId="17" borderId="0" xfId="0" applyFill="1" applyAlignment="1">
      <alignment wrapText="1"/>
    </xf>
    <xf numFmtId="0" fontId="18" fillId="17" borderId="0" xfId="0" applyFont="1" applyFill="1" applyAlignment="1">
      <alignment wrapText="1"/>
    </xf>
    <xf numFmtId="0" fontId="16" fillId="17" borderId="0" xfId="0" applyFont="1" applyFill="1"/>
    <xf numFmtId="0" fontId="18" fillId="17" borderId="0" xfId="0" applyFont="1" applyFill="1"/>
    <xf numFmtId="2" fontId="0" fillId="17" borderId="0" xfId="0" applyNumberFormat="1" applyFill="1"/>
    <xf numFmtId="43" fontId="0" fillId="17" borderId="0" xfId="0" applyNumberFormat="1" applyFill="1"/>
    <xf numFmtId="3" fontId="17" fillId="17" borderId="0" xfId="0" applyNumberFormat="1" applyFont="1" applyFill="1"/>
    <xf numFmtId="0" fontId="0" fillId="18" borderId="0" xfId="0" applyFill="1"/>
    <xf numFmtId="0" fontId="2" fillId="11" borderId="0" xfId="0" applyFont="1" applyFill="1"/>
    <xf numFmtId="0" fontId="13" fillId="11" borderId="0" xfId="0" applyFont="1" applyFill="1"/>
    <xf numFmtId="0" fontId="13" fillId="6" borderId="0" xfId="0" applyFont="1" applyFill="1"/>
    <xf numFmtId="0" fontId="19" fillId="10" borderId="0" xfId="0" applyFont="1" applyFill="1" applyAlignment="1">
      <alignment wrapText="1"/>
    </xf>
    <xf numFmtId="0" fontId="13" fillId="7" borderId="0" xfId="0" applyFont="1" applyFill="1"/>
    <xf numFmtId="0" fontId="13" fillId="8" borderId="0" xfId="0" applyFont="1" applyFill="1"/>
    <xf numFmtId="0" fontId="13" fillId="0" borderId="0" xfId="0" applyFont="1"/>
    <xf numFmtId="0" fontId="13" fillId="14" borderId="0" xfId="0" applyFont="1" applyFill="1"/>
    <xf numFmtId="0" fontId="0" fillId="0" borderId="0" xfId="0" applyAlignment="1">
      <alignment wrapText="1"/>
    </xf>
    <xf numFmtId="2" fontId="13" fillId="11" borderId="0" xfId="0" applyNumberFormat="1" applyFont="1" applyFill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wrapText="1"/>
    </xf>
    <xf numFmtId="0" fontId="21" fillId="0" borderId="0" xfId="0" applyFont="1"/>
    <xf numFmtId="0" fontId="20" fillId="19" borderId="0" xfId="0" applyFont="1" applyFill="1" applyAlignment="1">
      <alignment wrapText="1"/>
    </xf>
    <xf numFmtId="0" fontId="13" fillId="20" borderId="0" xfId="0" applyFont="1" applyFill="1"/>
    <xf numFmtId="0" fontId="13" fillId="20" borderId="0" xfId="0" applyFont="1" applyFill="1" applyAlignment="1">
      <alignment wrapText="1"/>
    </xf>
    <xf numFmtId="0" fontId="20" fillId="19" borderId="0" xfId="0" applyFont="1" applyFill="1"/>
    <xf numFmtId="0" fontId="22" fillId="21" borderId="0" xfId="0" applyFont="1" applyFill="1"/>
    <xf numFmtId="0" fontId="20" fillId="21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ockanalysis.com/quote/ngx/WAPCO/revenu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"/>
  <sheetViews>
    <sheetView tabSelected="1" topLeftCell="A145" zoomScale="38" workbookViewId="0">
      <selection activeCell="J163" sqref="J163"/>
    </sheetView>
  </sheetViews>
  <sheetFormatPr defaultRowHeight="14.5"/>
  <cols>
    <col min="1" max="1" width="36.54296875" style="2" bestFit="1" customWidth="1"/>
    <col min="2" max="2" width="36.54296875" bestFit="1" customWidth="1"/>
    <col min="3" max="3" width="26.453125" customWidth="1"/>
    <col min="4" max="4" width="36.54296875" bestFit="1" customWidth="1"/>
    <col min="5" max="5" width="22" customWidth="1"/>
    <col min="6" max="6" width="24.54296875" customWidth="1"/>
    <col min="7" max="7" width="20.7265625" style="56" customWidth="1"/>
    <col min="8" max="8" width="26.54296875" customWidth="1"/>
    <col min="9" max="9" width="23.54296875" customWidth="1"/>
    <col min="10" max="10" width="22.81640625" customWidth="1"/>
  </cols>
  <sheetData>
    <row r="1" spans="1:8">
      <c r="A1" s="101" t="s">
        <v>0</v>
      </c>
    </row>
    <row r="2" spans="1:8" ht="23.5">
      <c r="A2" s="28" t="s">
        <v>1</v>
      </c>
    </row>
    <row r="3" spans="1:8">
      <c r="B3" s="2">
        <v>2025</v>
      </c>
      <c r="C3" s="2">
        <v>2026</v>
      </c>
      <c r="D3" s="2">
        <v>2027</v>
      </c>
      <c r="E3" s="2">
        <v>2028</v>
      </c>
      <c r="F3" s="2">
        <v>2029</v>
      </c>
      <c r="G3" s="55">
        <v>2030</v>
      </c>
    </row>
    <row r="4" spans="1:8">
      <c r="A4" s="2" t="s">
        <v>2</v>
      </c>
      <c r="B4" s="23">
        <f>F50</f>
        <v>1066304773000</v>
      </c>
      <c r="C4" s="30">
        <f>+B4*(1+$G$24)</f>
        <v>1357937978562.0569</v>
      </c>
      <c r="D4" s="30">
        <f t="shared" ref="D4:G4" si="0">+C4*(1+$G$24)</f>
        <v>1729332551361.6597</v>
      </c>
      <c r="E4" s="30">
        <f t="shared" si="0"/>
        <v>2202303139327.3306</v>
      </c>
      <c r="F4" s="30">
        <f t="shared" si="0"/>
        <v>2804630673072.1416</v>
      </c>
      <c r="G4" s="57">
        <f t="shared" si="0"/>
        <v>3571694137774.1777</v>
      </c>
    </row>
    <row r="5" spans="1:8">
      <c r="A5" s="2" t="s">
        <v>3</v>
      </c>
      <c r="C5" s="30">
        <f>C4*$G$25</f>
        <v>666839234993.81506</v>
      </c>
      <c r="D5" s="30">
        <f>D4*$G$25</f>
        <v>849219046676.22607</v>
      </c>
      <c r="E5" s="30">
        <f>E4*$G$25</f>
        <v>1081479540183.8752</v>
      </c>
      <c r="F5" s="30">
        <f>F4*$G$25</f>
        <v>1377263028206.9592</v>
      </c>
      <c r="G5" s="57">
        <f>G4*$G$25</f>
        <v>1753942981245.2087</v>
      </c>
    </row>
    <row r="6" spans="1:8">
      <c r="A6" s="2" t="s">
        <v>4</v>
      </c>
      <c r="C6" s="30">
        <f>C4-C5</f>
        <v>691098743568.24182</v>
      </c>
      <c r="D6" s="30">
        <f>D4-D5</f>
        <v>880113504685.43359</v>
      </c>
      <c r="E6" s="30">
        <f>E4-E5</f>
        <v>1120823599143.4553</v>
      </c>
      <c r="F6" s="30">
        <f>F4-F5</f>
        <v>1427367644865.1824</v>
      </c>
      <c r="G6" s="57">
        <f>G4-G5</f>
        <v>1817751156528.969</v>
      </c>
    </row>
    <row r="7" spans="1:8">
      <c r="A7" s="2" t="s">
        <v>5</v>
      </c>
      <c r="C7" s="30">
        <f>C4*$G$26</f>
        <v>350942601556.17981</v>
      </c>
      <c r="D7" s="30">
        <f t="shared" ref="D7:G7" si="1">D4*$G$26</f>
        <v>446925024641.62579</v>
      </c>
      <c r="E7" s="30">
        <f t="shared" si="1"/>
        <v>569158536937.96301</v>
      </c>
      <c r="F7" s="30">
        <f t="shared" si="1"/>
        <v>724822783036.41736</v>
      </c>
      <c r="G7" s="57">
        <f t="shared" si="1"/>
        <v>923061032581.72046</v>
      </c>
    </row>
    <row r="8" spans="1:8">
      <c r="A8" s="2" t="s">
        <v>6</v>
      </c>
      <c r="C8" s="30">
        <f>C4-C5-C7</f>
        <v>340156142012.06201</v>
      </c>
      <c r="D8" s="30">
        <f t="shared" ref="D8:G8" si="2">D4-D5-D7</f>
        <v>433188480043.8078</v>
      </c>
      <c r="E8" s="30">
        <f t="shared" si="2"/>
        <v>551665062205.49231</v>
      </c>
      <c r="F8" s="30">
        <f t="shared" si="2"/>
        <v>702544861828.76501</v>
      </c>
      <c r="G8" s="57">
        <f t="shared" si="2"/>
        <v>894690123947.24854</v>
      </c>
    </row>
    <row r="9" spans="1:8">
      <c r="A9" s="2" t="s">
        <v>7</v>
      </c>
      <c r="C9" s="30">
        <f>C4*$G$27</f>
        <v>2784207827.9011774</v>
      </c>
      <c r="D9" s="30">
        <f t="shared" ref="D9:G9" si="3">D4*$G$27</f>
        <v>3545685666.4720006</v>
      </c>
      <c r="E9" s="30">
        <f t="shared" si="3"/>
        <v>4515426872.7496805</v>
      </c>
      <c r="F9" s="30">
        <f t="shared" si="3"/>
        <v>5750391253.2205191</v>
      </c>
      <c r="G9" s="57">
        <f t="shared" si="3"/>
        <v>7323117060.0220175</v>
      </c>
    </row>
    <row r="10" spans="1:8">
      <c r="A10" s="2" t="s">
        <v>8</v>
      </c>
      <c r="C10" s="30">
        <f>C4*$G$28</f>
        <v>90169949099.356873</v>
      </c>
      <c r="D10" s="30">
        <f>D4*$G$28</f>
        <v>114831332942.95424</v>
      </c>
      <c r="E10" s="30">
        <f>E4*$G$28</f>
        <v>146237578674.08685</v>
      </c>
      <c r="F10" s="30">
        <f>F4*$G$28</f>
        <v>186233398745.65042</v>
      </c>
      <c r="G10" s="57">
        <f>G4*$G$28</f>
        <v>237168032477.15561</v>
      </c>
    </row>
    <row r="11" spans="1:8">
      <c r="A11" s="2" t="s">
        <v>9</v>
      </c>
      <c r="C11" s="30">
        <f>C8-C10</f>
        <v>249986192912.70514</v>
      </c>
      <c r="D11" s="30">
        <f>D8-D10</f>
        <v>318357147100.85358</v>
      </c>
      <c r="E11" s="30">
        <f>E8-E10</f>
        <v>405427483531.40546</v>
      </c>
      <c r="F11" s="30">
        <f>F8-F10</f>
        <v>516311463083.11462</v>
      </c>
      <c r="G11" s="57">
        <f>G8-G10</f>
        <v>657522091470.0929</v>
      </c>
    </row>
    <row r="12" spans="1:8">
      <c r="C12" s="31"/>
      <c r="D12" s="31"/>
      <c r="E12" s="31"/>
      <c r="F12" s="31"/>
    </row>
    <row r="13" spans="1:8">
      <c r="A13" s="2" t="s">
        <v>6</v>
      </c>
      <c r="C13" s="30">
        <f>C8</f>
        <v>340156142012.06201</v>
      </c>
      <c r="D13" s="30">
        <f>D8</f>
        <v>433188480043.8078</v>
      </c>
      <c r="E13" s="30">
        <f>E8</f>
        <v>551665062205.49231</v>
      </c>
      <c r="F13" s="30">
        <f>F8</f>
        <v>702544861828.76501</v>
      </c>
      <c r="G13" s="57">
        <f>G8</f>
        <v>894690123947.24854</v>
      </c>
    </row>
    <row r="14" spans="1:8">
      <c r="A14" s="2" t="s">
        <v>10</v>
      </c>
      <c r="C14" s="30">
        <f>C11*$G$37</f>
        <v>74995857873.811539</v>
      </c>
      <c r="D14" s="30">
        <f t="shared" ref="D14:G14" si="4">D11*$G$37</f>
        <v>95507144130.256073</v>
      </c>
      <c r="E14" s="30">
        <f t="shared" si="4"/>
        <v>121628245059.42163</v>
      </c>
      <c r="F14" s="30">
        <f t="shared" si="4"/>
        <v>154893438924.93439</v>
      </c>
      <c r="G14" s="30">
        <f t="shared" si="4"/>
        <v>197256627441.02786</v>
      </c>
      <c r="H14" s="57"/>
    </row>
    <row r="15" spans="1:8">
      <c r="A15" s="2" t="s">
        <v>11</v>
      </c>
      <c r="C15" s="30">
        <f>C11*(1-$G$37)</f>
        <v>174990335038.89359</v>
      </c>
      <c r="D15" s="30">
        <f t="shared" ref="D15:G15" si="5">D11*(1-$G$37)</f>
        <v>222850002970.5975</v>
      </c>
      <c r="E15" s="30">
        <f t="shared" si="5"/>
        <v>283799238471.98383</v>
      </c>
      <c r="F15" s="30">
        <f t="shared" si="5"/>
        <v>361418024158.18024</v>
      </c>
      <c r="G15" s="30">
        <f t="shared" si="5"/>
        <v>460265464029.065</v>
      </c>
    </row>
    <row r="16" spans="1:8">
      <c r="A16" s="2" t="s">
        <v>12</v>
      </c>
      <c r="C16" s="33">
        <f>C4*$G$32</f>
        <v>207430560959.75919</v>
      </c>
      <c r="D16" s="33">
        <f t="shared" ref="D16:G16" si="6">D4*$G$32</f>
        <v>264162595698.78986</v>
      </c>
      <c r="E16" s="33">
        <f t="shared" si="6"/>
        <v>336410780761.7594</v>
      </c>
      <c r="F16" s="33">
        <f t="shared" si="6"/>
        <v>428418766530.37061</v>
      </c>
      <c r="G16" s="59">
        <f t="shared" si="6"/>
        <v>545590837189.56714</v>
      </c>
    </row>
    <row r="17" spans="1:7">
      <c r="A17" s="2" t="s">
        <v>13</v>
      </c>
      <c r="C17" s="29">
        <f>C4*$G$31</f>
        <v>100782924246.2959</v>
      </c>
      <c r="D17" s="29">
        <f>D4*$G$31</f>
        <v>128346945348.0426</v>
      </c>
      <c r="E17" s="29">
        <f>E4*$G$31</f>
        <v>163449696497.35944</v>
      </c>
      <c r="F17" s="29">
        <f>F4*$G$31</f>
        <v>208153012232.84122</v>
      </c>
      <c r="G17" s="60">
        <f>G4*$G$31</f>
        <v>265082636616.00204</v>
      </c>
    </row>
    <row r="18" spans="1:7">
      <c r="A18" s="2" t="s">
        <v>14</v>
      </c>
      <c r="C18" s="32">
        <f>C17-F60</f>
        <v>-41357426753.704102</v>
      </c>
      <c r="D18" s="32">
        <f>D17-C17</f>
        <v>27564021101.746704</v>
      </c>
      <c r="E18" s="32">
        <f>E17-D17</f>
        <v>35102751149.316833</v>
      </c>
      <c r="F18" s="32">
        <f>F17-E17</f>
        <v>44703315735.481781</v>
      </c>
      <c r="G18" s="60">
        <f>G17-F17</f>
        <v>56929624383.160828</v>
      </c>
    </row>
    <row r="19" spans="1:7">
      <c r="A19" s="2" t="s">
        <v>15</v>
      </c>
      <c r="C19" s="32">
        <f>C15+C10-C16-C18</f>
        <v>99087149932.195374</v>
      </c>
      <c r="D19" s="32">
        <f>D15+D10-D16-D18</f>
        <v>45954719113.015198</v>
      </c>
      <c r="E19" s="32">
        <f>E15+E10-E16-E18</f>
        <v>58523285234.994446</v>
      </c>
      <c r="F19" s="32">
        <f>F15+F10-F16-F18</f>
        <v>74529340637.978302</v>
      </c>
      <c r="G19" s="60">
        <f>G15+G10-G16-G18</f>
        <v>94913034933.492615</v>
      </c>
    </row>
    <row r="23" spans="1:7" ht="18.5">
      <c r="A23" s="27" t="s">
        <v>16</v>
      </c>
      <c r="B23" s="2">
        <v>2021</v>
      </c>
      <c r="C23" s="2">
        <v>2022</v>
      </c>
      <c r="D23" s="2">
        <v>2023</v>
      </c>
      <c r="E23" s="2">
        <v>2024</v>
      </c>
      <c r="F23" s="2">
        <v>2025</v>
      </c>
      <c r="G23" s="55" t="s">
        <v>17</v>
      </c>
    </row>
    <row r="24" spans="1:7">
      <c r="A24" s="2" t="s">
        <v>18</v>
      </c>
      <c r="B24" s="24">
        <v>0.27110000000000001</v>
      </c>
      <c r="C24" s="24">
        <f>(C50/B50)-1</f>
        <v>0.27349892164653844</v>
      </c>
      <c r="D24" s="24">
        <f t="shared" ref="D24:F24" si="7">(D50/C50)-1</f>
        <v>8.6425214961656005E-2</v>
      </c>
      <c r="E24" s="24">
        <f t="shared" si="7"/>
        <v>0.71825721106397933</v>
      </c>
      <c r="F24" s="24">
        <f t="shared" si="7"/>
        <v>0.53038047032915192</v>
      </c>
      <c r="G24" s="48">
        <f>MEDIAN(B24:F24)</f>
        <v>0.27349892164653844</v>
      </c>
    </row>
    <row r="25" spans="1:7">
      <c r="A25" s="2" t="s">
        <v>19</v>
      </c>
      <c r="B25" s="24">
        <f>B51/B50</f>
        <v>0.49748445835128297</v>
      </c>
      <c r="C25" s="24">
        <f t="shared" ref="C25:F25" si="8">C51/C50</f>
        <v>0.47484908690174921</v>
      </c>
      <c r="D25" s="24">
        <f t="shared" si="8"/>
        <v>0.49106751966679818</v>
      </c>
      <c r="E25" s="24">
        <f t="shared" si="8"/>
        <v>0.50366340774013318</v>
      </c>
      <c r="F25" s="24">
        <f t="shared" si="8"/>
        <v>0.42207566860436441</v>
      </c>
      <c r="G25" s="48">
        <f>MEDIAN(B25:F25)</f>
        <v>0.49106751966679818</v>
      </c>
    </row>
    <row r="26" spans="1:7">
      <c r="A26" s="2" t="s">
        <v>20</v>
      </c>
      <c r="B26" s="24">
        <f>B52/B50</f>
        <v>0.2652678239697161</v>
      </c>
      <c r="C26" s="24">
        <f t="shared" ref="C26:F26" si="9">C52/C50</f>
        <v>0.30037595044356635</v>
      </c>
      <c r="D26" s="24">
        <f t="shared" si="9"/>
        <v>0.25843787205053265</v>
      </c>
      <c r="E26" s="24">
        <f t="shared" si="9"/>
        <v>0.22746379564499528</v>
      </c>
      <c r="F26" s="24">
        <f t="shared" si="9"/>
        <v>0.21389194325588937</v>
      </c>
      <c r="G26" s="48">
        <f>MEDIAN(B26:F26)</f>
        <v>0.25843787205053265</v>
      </c>
    </row>
    <row r="27" spans="1:7">
      <c r="A27" s="2" t="s">
        <v>21</v>
      </c>
      <c r="B27" s="24">
        <f>B53/B50</f>
        <v>1.2841819977572945E-2</v>
      </c>
      <c r="C27" s="24">
        <f t="shared" ref="C27:F27" si="10">C53/C50</f>
        <v>2.0545811126311915E-3</v>
      </c>
      <c r="D27" s="24">
        <f t="shared" si="10"/>
        <v>1.386913042396619E-3</v>
      </c>
      <c r="E27" s="24">
        <f t="shared" si="10"/>
        <v>2.0503203179054034E-3</v>
      </c>
      <c r="F27" s="24">
        <f t="shared" si="10"/>
        <v>2.4038155552737078E-4</v>
      </c>
      <c r="G27" s="48">
        <f>+MEDIAN(B27:F27)</f>
        <v>2.0503203179054034E-3</v>
      </c>
    </row>
    <row r="28" spans="1:7">
      <c r="A28" s="2" t="s">
        <v>22</v>
      </c>
      <c r="B28" s="24">
        <f>B54/B50</f>
        <v>0.11142543352171604</v>
      </c>
      <c r="C28" s="24">
        <f t="shared" ref="C28:F28" si="11">C54/C50</f>
        <v>6.6402111527095908E-2</v>
      </c>
      <c r="D28" s="24">
        <f t="shared" si="11"/>
        <v>6.7189582692606012E-2</v>
      </c>
      <c r="E28" s="24">
        <f t="shared" si="11"/>
        <v>4.2147937631237017E-2</v>
      </c>
      <c r="F28" s="24">
        <f t="shared" si="11"/>
        <v>3.2650807612956266E-2</v>
      </c>
      <c r="G28" s="48">
        <f>+MEDIAN(B28:F28)</f>
        <v>6.6402111527095908E-2</v>
      </c>
    </row>
    <row r="29" spans="1:7">
      <c r="A29" s="2" t="s">
        <v>23</v>
      </c>
      <c r="B29" s="24">
        <f>B55/B50</f>
        <v>3.8387783705245496E-2</v>
      </c>
      <c r="C29" s="24">
        <f t="shared" ref="C29:F29" si="12">C55/C50</f>
        <v>4.3127832051134206E-2</v>
      </c>
      <c r="D29" s="24">
        <f t="shared" si="12"/>
        <v>7.2881241297345509E-2</v>
      </c>
      <c r="E29" s="24">
        <f t="shared" si="12"/>
        <v>7.516767095874681E-2</v>
      </c>
      <c r="F29" s="24">
        <f t="shared" si="12"/>
        <v>0.12960301735421378</v>
      </c>
      <c r="G29" s="48">
        <f>+MEDIAN(B29:F29)</f>
        <v>7.2881241297345509E-2</v>
      </c>
    </row>
    <row r="30" spans="1:7">
      <c r="A30" s="2" t="s">
        <v>24</v>
      </c>
      <c r="B30" s="24">
        <f>B56/B50</f>
        <v>1.2793878345332983</v>
      </c>
      <c r="C30" s="24">
        <f t="shared" ref="C30:F30" si="13">C56/C50</f>
        <v>1.0781161190188733</v>
      </c>
      <c r="D30" s="24">
        <f t="shared" si="13"/>
        <v>1.0907764311080612</v>
      </c>
      <c r="E30" s="24">
        <f t="shared" si="13"/>
        <v>0.82741316629868589</v>
      </c>
      <c r="F30" s="24">
        <f t="shared" si="13"/>
        <v>0.608195173107417</v>
      </c>
      <c r="G30" s="48">
        <f>MEDIAN(B30:F30)</f>
        <v>1.0781161190188733</v>
      </c>
    </row>
    <row r="31" spans="1:7">
      <c r="A31" s="2" t="s">
        <v>25</v>
      </c>
      <c r="B31" s="24">
        <f>B60/B50</f>
        <v>1.8840175075738728E-2</v>
      </c>
      <c r="C31" s="24">
        <f t="shared" ref="C31:F31" si="14">C60/C50</f>
        <v>7.4738696121312162E-2</v>
      </c>
      <c r="D31" s="24">
        <f t="shared" si="14"/>
        <v>7.421761953592064E-2</v>
      </c>
      <c r="E31" s="24">
        <f t="shared" si="14"/>
        <v>2.4256341505242855E-2</v>
      </c>
      <c r="F31" s="24">
        <f t="shared" si="14"/>
        <v>0.13330180507407333</v>
      </c>
      <c r="G31" s="48">
        <f>MEDIAN(B31:F31)</f>
        <v>7.421761953592064E-2</v>
      </c>
    </row>
    <row r="32" spans="1:7">
      <c r="A32" s="2" t="s">
        <v>26</v>
      </c>
      <c r="B32" s="24" t="e">
        <f>B62/B50</f>
        <v>#VALUE!</v>
      </c>
      <c r="C32" s="24">
        <f t="shared" ref="C32:F32" si="15">C62/C50</f>
        <v>0.13989403119513974</v>
      </c>
      <c r="D32" s="24">
        <f t="shared" si="15"/>
        <v>0.16561412047966773</v>
      </c>
      <c r="E32" s="24">
        <f t="shared" si="15"/>
        <v>0.23474553377868196</v>
      </c>
      <c r="F32" s="24">
        <f t="shared" si="15"/>
        <v>0.1001875089609113</v>
      </c>
      <c r="G32" s="48">
        <f>MEDIAN(C32:F32)</f>
        <v>0.15275407583740375</v>
      </c>
    </row>
    <row r="33" spans="1:7">
      <c r="A33" s="2" t="s">
        <v>27</v>
      </c>
      <c r="G33" s="47">
        <v>0.15</v>
      </c>
    </row>
    <row r="34" spans="1:7">
      <c r="A34" s="2" t="s">
        <v>28</v>
      </c>
      <c r="G34" s="47">
        <v>0.22</v>
      </c>
    </row>
    <row r="35" spans="1:7">
      <c r="A35" s="2" t="s">
        <v>29</v>
      </c>
      <c r="G35" s="47">
        <v>7.0000000000000007E-2</v>
      </c>
    </row>
    <row r="36" spans="1:7">
      <c r="A36" s="2" t="s">
        <v>30</v>
      </c>
      <c r="G36" s="79">
        <v>1</v>
      </c>
    </row>
    <row r="37" spans="1:7">
      <c r="A37" s="2" t="s">
        <v>31</v>
      </c>
      <c r="G37" s="47">
        <v>0.3</v>
      </c>
    </row>
    <row r="38" spans="1:7">
      <c r="A38" s="2" t="s">
        <v>32</v>
      </c>
      <c r="B38" s="24">
        <f>B69/B64</f>
        <v>0.16162271306347348</v>
      </c>
      <c r="C38" s="24">
        <f t="shared" ref="C38:F38" si="16">C69/C64</f>
        <v>2.0956607643296436E-2</v>
      </c>
      <c r="D38" s="24">
        <f t="shared" si="16"/>
        <v>2.1429127735352823E-2</v>
      </c>
      <c r="E38" s="24">
        <f t="shared" si="16"/>
        <v>0.64520626518648327</v>
      </c>
      <c r="F38" s="48">
        <f t="shared" si="16"/>
        <v>0.195967347949843</v>
      </c>
    </row>
    <row r="39" spans="1:7">
      <c r="A39" s="2" t="s">
        <v>33</v>
      </c>
      <c r="F39" s="48">
        <f>F38*(1-G37)</f>
        <v>0.13717714356489008</v>
      </c>
    </row>
    <row r="40" spans="1:7">
      <c r="A40" s="2" t="s">
        <v>34</v>
      </c>
      <c r="F40" s="47">
        <f>G33+1*G35</f>
        <v>0.22</v>
      </c>
    </row>
    <row r="41" spans="1:7">
      <c r="A41" s="2" t="s">
        <v>35</v>
      </c>
      <c r="G41" s="47">
        <v>0.04</v>
      </c>
    </row>
    <row r="49" spans="1:12" ht="18.5">
      <c r="A49" s="27" t="s">
        <v>36</v>
      </c>
      <c r="B49" s="2">
        <v>2021</v>
      </c>
      <c r="C49" s="2">
        <v>2022</v>
      </c>
      <c r="D49" s="2">
        <v>2023</v>
      </c>
      <c r="E49" s="2">
        <v>2024</v>
      </c>
      <c r="F49" s="2">
        <v>2025</v>
      </c>
    </row>
    <row r="50" spans="1:12" ht="17">
      <c r="A50" s="2" t="s">
        <v>37</v>
      </c>
      <c r="B50" s="7">
        <v>293086183000</v>
      </c>
      <c r="C50" s="7">
        <v>373244938000</v>
      </c>
      <c r="D50" s="7">
        <v>405502712000</v>
      </c>
      <c r="E50" s="7">
        <v>696757959000</v>
      </c>
      <c r="F50" s="7">
        <v>1066304773000</v>
      </c>
    </row>
    <row r="51" spans="1:12" ht="17">
      <c r="A51" s="2" t="s">
        <v>38</v>
      </c>
      <c r="B51" s="7">
        <v>145805821000</v>
      </c>
      <c r="C51" s="7">
        <v>177235018000</v>
      </c>
      <c r="D51" s="7">
        <v>199129211000</v>
      </c>
      <c r="E51" s="7">
        <v>350931488000</v>
      </c>
      <c r="F51" s="7">
        <v>450061300000</v>
      </c>
    </row>
    <row r="52" spans="1:12" ht="17">
      <c r="A52" s="2" t="s">
        <v>39</v>
      </c>
      <c r="B52" s="7">
        <v>77746334000</v>
      </c>
      <c r="C52" s="7">
        <v>112113803000</v>
      </c>
      <c r="D52" s="7">
        <v>104797258000</v>
      </c>
      <c r="E52" s="7">
        <v>158487210000</v>
      </c>
      <c r="F52" s="7">
        <v>228074000000</v>
      </c>
    </row>
    <row r="53" spans="1:12" ht="17">
      <c r="A53" s="2" t="s">
        <v>40</v>
      </c>
      <c r="B53" s="7">
        <f>'RAW DATA'!F11</f>
        <v>3763760000</v>
      </c>
      <c r="C53" s="7">
        <f>'RAW DATA'!E11</f>
        <v>766862000</v>
      </c>
      <c r="D53" s="7">
        <f>'RAW DATA'!D11</f>
        <v>562397000</v>
      </c>
      <c r="E53" s="7">
        <f>'RAW DATA'!C11</f>
        <v>1428577000</v>
      </c>
      <c r="F53" s="7">
        <f>'RAW DATA'!B11</f>
        <v>256320000</v>
      </c>
    </row>
    <row r="54" spans="1:12" ht="17">
      <c r="A54" s="2" t="s">
        <v>41</v>
      </c>
      <c r="B54" s="7">
        <v>32657255000</v>
      </c>
      <c r="C54" s="7">
        <v>24784252000</v>
      </c>
      <c r="D54" s="7">
        <v>27245558000</v>
      </c>
      <c r="E54" s="7">
        <v>29366911000</v>
      </c>
      <c r="F54" s="7">
        <v>34815712000</v>
      </c>
      <c r="I54" s="7"/>
      <c r="J54" s="7"/>
      <c r="K54" s="7"/>
      <c r="L54" s="7"/>
    </row>
    <row r="55" spans="1:12" ht="17">
      <c r="A55" s="2" t="s">
        <v>42</v>
      </c>
      <c r="B55" s="7">
        <v>11250929000</v>
      </c>
      <c r="C55" s="7">
        <v>16097245000</v>
      </c>
      <c r="D55" s="7">
        <v>29553541000</v>
      </c>
      <c r="E55" s="7">
        <v>52373673000</v>
      </c>
      <c r="F55" s="7">
        <v>138196316000</v>
      </c>
    </row>
    <row r="56" spans="1:12">
      <c r="A56" s="25" t="s">
        <v>43</v>
      </c>
      <c r="B56" s="23">
        <f>+'RAW DATA'!F62+'RAW DATA'!F63+'RAW DATA'!F65</f>
        <v>374970897000</v>
      </c>
      <c r="C56" s="23">
        <f>+'RAW DATA'!E62+'RAW DATA'!E63+'RAW DATA'!E65</f>
        <v>402401384000</v>
      </c>
      <c r="D56" s="23">
        <f>+'RAW DATA'!D62+'RAW DATA'!D63+'RAW DATA'!D65</f>
        <v>442312801000</v>
      </c>
      <c r="E56" s="23">
        <f>+'RAW DATA'!C62+'RAW DATA'!C63+'RAW DATA'!C65</f>
        <v>576506709000</v>
      </c>
      <c r="F56" s="23">
        <f>+'RAW DATA'!B62+'RAW DATA'!B63+'RAW DATA'!B65</f>
        <v>648521416000</v>
      </c>
    </row>
    <row r="57" spans="1:12" ht="17">
      <c r="A57" s="2" t="s">
        <v>44</v>
      </c>
      <c r="B57" s="22">
        <v>136574884000</v>
      </c>
      <c r="C57" s="22">
        <v>196278670000</v>
      </c>
      <c r="D57" s="22">
        <v>239058772000</v>
      </c>
      <c r="E57" s="22">
        <v>414002876000</v>
      </c>
      <c r="F57" s="22">
        <v>559502982000</v>
      </c>
    </row>
    <row r="58" spans="1:12" ht="29">
      <c r="A58" s="26" t="s">
        <v>45</v>
      </c>
      <c r="B58" s="22">
        <v>131053089000</v>
      </c>
      <c r="C58" s="22">
        <v>168382830000</v>
      </c>
      <c r="D58" s="22">
        <v>208963326000</v>
      </c>
      <c r="E58" s="22">
        <v>397102077000</v>
      </c>
      <c r="F58" s="22">
        <v>417362631000</v>
      </c>
    </row>
    <row r="59" spans="1:12" ht="17">
      <c r="A59" s="2" t="s">
        <v>46</v>
      </c>
      <c r="B59" s="7">
        <v>16107796000</v>
      </c>
      <c r="C59" s="7">
        <v>16107796000</v>
      </c>
      <c r="D59" s="7">
        <v>16107796000</v>
      </c>
      <c r="E59" s="7">
        <v>16107796000</v>
      </c>
      <c r="F59" s="7">
        <v>16107796000</v>
      </c>
    </row>
    <row r="60" spans="1:12">
      <c r="A60" s="2" t="s">
        <v>13</v>
      </c>
      <c r="B60" s="23">
        <f>+B57-B58</f>
        <v>5521795000</v>
      </c>
      <c r="C60" s="23">
        <f>+C57-C58</f>
        <v>27895840000</v>
      </c>
      <c r="D60" s="23">
        <f>+D57-D58</f>
        <v>30095446000</v>
      </c>
      <c r="E60" s="23">
        <f>+E57-E58</f>
        <v>16900799000</v>
      </c>
      <c r="F60" s="23">
        <f>+F57-F58</f>
        <v>142140351000</v>
      </c>
    </row>
    <row r="61" spans="1:12">
      <c r="A61" s="2" t="s">
        <v>14</v>
      </c>
      <c r="B61" t="s">
        <v>47</v>
      </c>
      <c r="C61" s="23">
        <f>C60-B60</f>
        <v>22374045000</v>
      </c>
      <c r="D61" s="23">
        <f t="shared" ref="D61:F61" si="17">D60-C60</f>
        <v>2199606000</v>
      </c>
      <c r="E61" s="23">
        <f t="shared" si="17"/>
        <v>-13194647000</v>
      </c>
      <c r="F61" s="23">
        <f t="shared" si="17"/>
        <v>125239552000</v>
      </c>
    </row>
    <row r="62" spans="1:12">
      <c r="A62" s="2" t="s">
        <v>48</v>
      </c>
      <c r="B62" t="s">
        <v>47</v>
      </c>
      <c r="C62" s="23">
        <f>(C56-B56)+C54</f>
        <v>52214739000</v>
      </c>
      <c r="D62" s="23">
        <f>(D56-C56)+D54</f>
        <v>67156975000</v>
      </c>
      <c r="E62" s="23">
        <f>(E56-D56)+E54</f>
        <v>163560819000</v>
      </c>
      <c r="F62" s="23">
        <f>(F56-E56)+F54</f>
        <v>106830419000</v>
      </c>
    </row>
    <row r="63" spans="1:12" s="2" customFormat="1" ht="17.5">
      <c r="A63" s="20" t="s">
        <v>49</v>
      </c>
      <c r="B63" s="21">
        <f>'RAW DATA'!F88</f>
        <v>378560677000</v>
      </c>
      <c r="C63" s="21">
        <f>'RAW DATA'!E88</f>
        <v>416102005000</v>
      </c>
      <c r="D63" s="44">
        <f>'RAW DATA'!D88</f>
        <v>435051868000</v>
      </c>
      <c r="E63" s="44">
        <f>'RAW DATA'!C88</f>
        <v>504640661000</v>
      </c>
      <c r="F63" s="46">
        <f>'RAW DATA'!B88</f>
        <v>693995670000</v>
      </c>
      <c r="G63" s="55"/>
    </row>
    <row r="64" spans="1:12" s="2" customFormat="1" ht="17.5">
      <c r="A64" s="2" t="s">
        <v>50</v>
      </c>
      <c r="B64" s="21">
        <f>'RAW DATA'!F90</f>
        <v>23287321000</v>
      </c>
      <c r="C64" s="21">
        <f>'RAW DATA'!E90</f>
        <v>36592850000</v>
      </c>
      <c r="D64" s="44">
        <f>'RAW DATA'!D90</f>
        <v>26244512000</v>
      </c>
      <c r="E64" s="44">
        <f>'RAW DATA'!C90</f>
        <v>2214140000</v>
      </c>
      <c r="F64" s="46">
        <f>'RAW DATA'!B90</f>
        <v>1307973000</v>
      </c>
      <c r="G64" s="55"/>
    </row>
    <row r="65" spans="1:7" s="2" customFormat="1">
      <c r="A65" s="2" t="s">
        <v>51</v>
      </c>
      <c r="B65" s="44">
        <f>SUM(B63:B64)</f>
        <v>401847998000</v>
      </c>
      <c r="C65" s="44">
        <f t="shared" ref="C65:F65" si="18">SUM(C63:C64)</f>
        <v>452694855000</v>
      </c>
      <c r="D65" s="44">
        <f t="shared" si="18"/>
        <v>461296380000</v>
      </c>
      <c r="E65" s="44">
        <f t="shared" si="18"/>
        <v>506854801000</v>
      </c>
      <c r="F65" s="46">
        <f t="shared" si="18"/>
        <v>695303643000</v>
      </c>
      <c r="G65" s="55"/>
    </row>
    <row r="66" spans="1:7" s="2" customFormat="1">
      <c r="A66" s="2" t="s">
        <v>52</v>
      </c>
      <c r="B66" s="38">
        <f>+B63/B65</f>
        <v>0.94204942884896492</v>
      </c>
      <c r="C66" s="38">
        <f t="shared" ref="C66:F66" si="19">+C63/C65</f>
        <v>0.9191666315712822</v>
      </c>
      <c r="D66" s="38">
        <f t="shared" si="19"/>
        <v>0.94310704974532855</v>
      </c>
      <c r="E66" s="38">
        <f t="shared" si="19"/>
        <v>0.99563160890331592</v>
      </c>
      <c r="F66" s="45">
        <f t="shared" si="19"/>
        <v>0.99811884632970349</v>
      </c>
      <c r="G66" s="55"/>
    </row>
    <row r="67" spans="1:7" s="2" customFormat="1">
      <c r="A67" s="2" t="s">
        <v>53</v>
      </c>
      <c r="B67" s="38">
        <f>B64/B65</f>
        <v>5.7950571151035073E-2</v>
      </c>
      <c r="C67" s="38">
        <f t="shared" ref="C67:F67" si="20">C64/C65</f>
        <v>8.0833368428717842E-2</v>
      </c>
      <c r="D67" s="38">
        <f t="shared" si="20"/>
        <v>5.6892950254671414E-2</v>
      </c>
      <c r="E67" s="38">
        <f t="shared" si="20"/>
        <v>4.3683910966841174E-3</v>
      </c>
      <c r="F67" s="45">
        <f t="shared" si="20"/>
        <v>1.8811536702965327E-3</v>
      </c>
      <c r="G67" s="55"/>
    </row>
    <row r="68" spans="1:7">
      <c r="A68" s="2" t="s">
        <v>54</v>
      </c>
      <c r="D68" s="23"/>
      <c r="E68" s="23"/>
      <c r="F68" s="23">
        <v>0.15</v>
      </c>
    </row>
    <row r="69" spans="1:7" ht="17">
      <c r="A69" s="5" t="s">
        <v>55</v>
      </c>
      <c r="B69" s="7">
        <f>'RAW DATA'!F11</f>
        <v>3763760000</v>
      </c>
      <c r="C69" s="7">
        <f>'RAW DATA'!E11</f>
        <v>766862000</v>
      </c>
      <c r="D69" s="7">
        <f>'RAW DATA'!D11</f>
        <v>562397000</v>
      </c>
      <c r="E69" s="7">
        <f>'RAW DATA'!C11</f>
        <v>1428577000</v>
      </c>
      <c r="F69" s="7">
        <f>'RAW DATA'!B11</f>
        <v>256320000</v>
      </c>
      <c r="G69" s="61"/>
    </row>
    <row r="70" spans="1:7" ht="17">
      <c r="A70" s="5" t="s">
        <v>31</v>
      </c>
      <c r="B70" s="7"/>
      <c r="D70" s="7"/>
      <c r="G70" s="61"/>
    </row>
    <row r="71" spans="1:7" ht="17">
      <c r="A71" s="5" t="s">
        <v>56</v>
      </c>
      <c r="B71" s="65">
        <f>'RAW DATA'!F52</f>
        <v>50057345000</v>
      </c>
      <c r="C71" s="23">
        <f>'RAW DATA'!E53</f>
        <v>118398495000</v>
      </c>
      <c r="D71" s="65">
        <f>'RAW DATA'!D52</f>
        <v>168369604000</v>
      </c>
      <c r="E71" s="23">
        <f>'RAW DATA'!C52</f>
        <v>237858537000</v>
      </c>
      <c r="F71" s="44">
        <f>'RAW DATA'!B52</f>
        <v>388067308000</v>
      </c>
      <c r="G71" s="66"/>
    </row>
    <row r="72" spans="1:7" ht="17">
      <c r="A72" s="64" t="s">
        <v>57</v>
      </c>
      <c r="B72" s="65"/>
      <c r="D72" s="65"/>
      <c r="G72" s="66"/>
    </row>
    <row r="73" spans="1:7" ht="17">
      <c r="A73" s="64"/>
      <c r="B73" s="65"/>
      <c r="D73" s="65"/>
      <c r="G73" s="66"/>
    </row>
    <row r="74" spans="1:7">
      <c r="D74" s="23"/>
      <c r="E74" s="23"/>
      <c r="F74" s="23"/>
    </row>
    <row r="75" spans="1:7">
      <c r="C75" s="23"/>
      <c r="D75" s="23"/>
      <c r="E75" s="23"/>
      <c r="F75" s="23"/>
    </row>
    <row r="77" spans="1:7" ht="18.5">
      <c r="A77" s="27" t="s">
        <v>58</v>
      </c>
      <c r="B77" t="s">
        <v>59</v>
      </c>
      <c r="C77" s="49">
        <f>(B81*B78)+(B80*B79)</f>
        <v>0.21984419747963266</v>
      </c>
      <c r="D77" s="50">
        <f>+ROUNDUP(C77,22)</f>
        <v>0.21984419747963299</v>
      </c>
    </row>
    <row r="78" spans="1:7" ht="29">
      <c r="A78" s="26" t="s">
        <v>60</v>
      </c>
      <c r="B78" s="47">
        <f>F40</f>
        <v>0.22</v>
      </c>
    </row>
    <row r="79" spans="1:7">
      <c r="A79" s="2" t="s">
        <v>61</v>
      </c>
      <c r="B79" s="48">
        <f>F39</f>
        <v>0.13717714356489008</v>
      </c>
    </row>
    <row r="80" spans="1:7">
      <c r="A80" s="2" t="s">
        <v>62</v>
      </c>
      <c r="B80" s="48">
        <f>F67</f>
        <v>1.8811536702965327E-3</v>
      </c>
    </row>
    <row r="81" spans="1:8" ht="17.25" customHeight="1">
      <c r="A81" s="26" t="s">
        <v>63</v>
      </c>
      <c r="B81" s="48">
        <f>F66</f>
        <v>0.99811884632970349</v>
      </c>
    </row>
    <row r="83" spans="1:8" ht="43.5">
      <c r="A83" s="52" t="s">
        <v>64</v>
      </c>
    </row>
    <row r="85" spans="1:8" ht="37">
      <c r="A85" s="51" t="s">
        <v>65</v>
      </c>
      <c r="B85" s="53" t="s">
        <v>66</v>
      </c>
    </row>
    <row r="86" spans="1:8" s="2" customFormat="1">
      <c r="B86" s="2">
        <v>2025</v>
      </c>
      <c r="C86" s="2">
        <v>2026</v>
      </c>
      <c r="D86" s="2">
        <v>2027</v>
      </c>
      <c r="E86" s="2">
        <v>2028</v>
      </c>
      <c r="F86" s="2">
        <v>2029</v>
      </c>
      <c r="G86" s="55">
        <v>2030</v>
      </c>
      <c r="H86" s="42" t="s">
        <v>67</v>
      </c>
    </row>
    <row r="87" spans="1:8">
      <c r="A87" s="2" t="s">
        <v>15</v>
      </c>
      <c r="C87" s="29">
        <f>C19</f>
        <v>99087149932.195374</v>
      </c>
      <c r="D87" s="29">
        <f>D19</f>
        <v>45954719113.015198</v>
      </c>
      <c r="E87" s="29">
        <f t="shared" ref="E87:G87" si="21">E19</f>
        <v>58523285234.994446</v>
      </c>
      <c r="F87" s="29">
        <f t="shared" si="21"/>
        <v>74529340637.978302</v>
      </c>
      <c r="G87" s="60">
        <f t="shared" si="21"/>
        <v>94913034933.492615</v>
      </c>
      <c r="H87" s="31"/>
    </row>
    <row r="88" spans="1:8">
      <c r="A88" s="2" t="s">
        <v>68</v>
      </c>
      <c r="C88" s="54">
        <f>C87/(1+$D$77)^1</f>
        <v>81229348909.412476</v>
      </c>
      <c r="D88" s="54">
        <f>D87/(1+$D$77)^2</f>
        <v>30883135473.651764</v>
      </c>
      <c r="E88" s="54">
        <f>E87/(1+$D$77)^3</f>
        <v>32241527076.998833</v>
      </c>
      <c r="F88" s="54">
        <f>F87/(1+$D$77)^4</f>
        <v>33659667398.205807</v>
      </c>
      <c r="G88" s="57">
        <f>G87/(1+$D$77)^5</f>
        <v>35140184478.609871</v>
      </c>
      <c r="H88" s="30">
        <f>SUM(C88:G88)</f>
        <v>213153863336.87875</v>
      </c>
    </row>
    <row r="91" spans="1:8">
      <c r="A91" s="58" t="s">
        <v>69</v>
      </c>
    </row>
    <row r="92" spans="1:8" s="2" customFormat="1">
      <c r="B92" s="62">
        <v>2030</v>
      </c>
      <c r="G92" s="55"/>
    </row>
    <row r="93" spans="1:8">
      <c r="A93" s="2" t="s">
        <v>15</v>
      </c>
      <c r="B93" s="63">
        <f>G87</f>
        <v>94913034933.492615</v>
      </c>
      <c r="C93" s="54"/>
      <c r="D93" s="54"/>
      <c r="E93" s="54"/>
      <c r="F93" s="54"/>
      <c r="G93" s="57"/>
    </row>
    <row r="94" spans="1:8">
      <c r="A94" s="2" t="s">
        <v>70</v>
      </c>
      <c r="B94" s="63">
        <f>B93*(1+$G$41)/($D$77-$G$41)</f>
        <v>548861501867.53174</v>
      </c>
      <c r="C94" s="29"/>
      <c r="D94" s="29"/>
      <c r="E94" s="29"/>
      <c r="F94" s="29"/>
      <c r="G94" s="60"/>
    </row>
    <row r="96" spans="1:8">
      <c r="A96" s="58" t="s">
        <v>71</v>
      </c>
    </row>
    <row r="97" spans="1:7">
      <c r="A97" s="2" t="s">
        <v>72</v>
      </c>
      <c r="B97">
        <f>(1+D77)^5</f>
        <v>2.700982830390859</v>
      </c>
    </row>
    <row r="98" spans="1:7">
      <c r="A98" s="2" t="s">
        <v>73</v>
      </c>
      <c r="B98" s="63">
        <f>B94/B97</f>
        <v>203208067704.78656</v>
      </c>
    </row>
    <row r="100" spans="1:7">
      <c r="A100" s="58" t="s">
        <v>74</v>
      </c>
      <c r="B100" s="63">
        <f>H88+B98</f>
        <v>416361931041.66528</v>
      </c>
    </row>
    <row r="102" spans="1:7">
      <c r="A102" s="58" t="s">
        <v>75</v>
      </c>
      <c r="B102" s="68">
        <f>+B100+F71-F64</f>
        <v>803121266041.66528</v>
      </c>
    </row>
    <row r="104" spans="1:7">
      <c r="A104" s="58" t="s">
        <v>76</v>
      </c>
      <c r="B104" s="81">
        <f>+B102/F59</f>
        <v>49.859165465074504</v>
      </c>
      <c r="C104" s="67">
        <f>+ROUNDUP(B104, 1)</f>
        <v>49.9</v>
      </c>
    </row>
    <row r="105" spans="1:7">
      <c r="A105" s="2" t="s">
        <v>77</v>
      </c>
      <c r="B105" s="67">
        <f>C104</f>
        <v>49.9</v>
      </c>
    </row>
    <row r="106" spans="1:7">
      <c r="A106" s="2" t="s">
        <v>78</v>
      </c>
      <c r="B106">
        <v>243</v>
      </c>
    </row>
    <row r="107" spans="1:7" ht="29">
      <c r="A107" s="26" t="s">
        <v>79</v>
      </c>
      <c r="B107" s="80">
        <f>(B105-B106)/B106</f>
        <v>-0.79465020576131684</v>
      </c>
    </row>
    <row r="110" spans="1:7" ht="21">
      <c r="A110" s="69" t="s">
        <v>80</v>
      </c>
    </row>
    <row r="111" spans="1:7" ht="21">
      <c r="A111" s="69" t="s">
        <v>78</v>
      </c>
    </row>
    <row r="112" spans="1:7">
      <c r="A112" s="105" t="s">
        <v>81</v>
      </c>
      <c r="B112" s="106"/>
      <c r="C112" s="106"/>
      <c r="D112" s="106"/>
      <c r="E112" s="106"/>
      <c r="F112" s="106"/>
      <c r="G112" s="106"/>
    </row>
    <row r="113" spans="1:7">
      <c r="A113" s="106"/>
      <c r="B113" s="106"/>
      <c r="C113" s="106"/>
      <c r="D113" s="106"/>
      <c r="E113" s="106"/>
      <c r="F113" s="106"/>
      <c r="G113" s="106"/>
    </row>
    <row r="114" spans="1:7">
      <c r="A114" s="106"/>
      <c r="B114" s="106"/>
      <c r="C114" s="106"/>
      <c r="D114" s="106"/>
      <c r="E114" s="106"/>
      <c r="F114" s="106"/>
      <c r="G114" s="106"/>
    </row>
    <row r="117" spans="1:7">
      <c r="A117" s="99" t="s">
        <v>82</v>
      </c>
      <c r="B117" s="99" t="s">
        <v>83</v>
      </c>
      <c r="C117" s="100" t="s">
        <v>84</v>
      </c>
      <c r="D117" s="100" t="s">
        <v>85</v>
      </c>
    </row>
    <row r="118" spans="1:7">
      <c r="A118" s="35" t="s">
        <v>86</v>
      </c>
      <c r="B118" s="35" t="s">
        <v>87</v>
      </c>
      <c r="C118" s="36" t="s">
        <v>88</v>
      </c>
      <c r="D118" s="36" t="s">
        <v>89</v>
      </c>
    </row>
    <row r="119" spans="1:7">
      <c r="A119" s="35" t="s">
        <v>90</v>
      </c>
      <c r="B119" s="35" t="s">
        <v>91</v>
      </c>
      <c r="C119" s="36" t="s">
        <v>92</v>
      </c>
      <c r="D119" s="36" t="s">
        <v>93</v>
      </c>
    </row>
    <row r="120" spans="1:7">
      <c r="A120" s="34" t="s">
        <v>94</v>
      </c>
      <c r="B120" s="34" t="s">
        <v>95</v>
      </c>
    </row>
    <row r="121" spans="1:7" ht="23.5">
      <c r="A121" s="35" t="s">
        <v>96</v>
      </c>
      <c r="B121" s="35" t="s">
        <v>97</v>
      </c>
      <c r="D121" s="98" t="s">
        <v>98</v>
      </c>
    </row>
    <row r="122" spans="1:7">
      <c r="D122" s="40" t="s">
        <v>99</v>
      </c>
    </row>
    <row r="123" spans="1:7">
      <c r="D123" s="40" t="s">
        <v>100</v>
      </c>
    </row>
    <row r="124" spans="1:7">
      <c r="A124" s="37" t="s">
        <v>101</v>
      </c>
      <c r="B124" s="41" t="s">
        <v>102</v>
      </c>
      <c r="D124" s="40" t="s">
        <v>103</v>
      </c>
    </row>
    <row r="125" spans="1:7">
      <c r="A125" s="37" t="s">
        <v>104</v>
      </c>
      <c r="B125" s="41" t="s">
        <v>105</v>
      </c>
      <c r="D125" s="40" t="s">
        <v>106</v>
      </c>
    </row>
    <row r="126" spans="1:7">
      <c r="A126" s="39">
        <f>(18%+25%)/2</f>
        <v>0.215</v>
      </c>
      <c r="B126" s="41" t="s">
        <v>107</v>
      </c>
    </row>
    <row r="127" spans="1:7">
      <c r="A127" s="37" t="s">
        <v>108</v>
      </c>
    </row>
    <row r="129" spans="1:10">
      <c r="A129" s="97" t="s">
        <v>109</v>
      </c>
    </row>
    <row r="130" spans="1:10">
      <c r="A130" s="43" t="s">
        <v>110</v>
      </c>
    </row>
    <row r="131" spans="1:10" ht="29">
      <c r="A131" s="43" t="s">
        <v>111</v>
      </c>
    </row>
    <row r="132" spans="1:10">
      <c r="A132" s="42"/>
    </row>
    <row r="133" spans="1:10">
      <c r="A133" s="42" t="s">
        <v>112</v>
      </c>
    </row>
    <row r="136" spans="1:10">
      <c r="A136" s="89" t="s">
        <v>113</v>
      </c>
      <c r="B136" s="90" t="s">
        <v>114</v>
      </c>
      <c r="C136" s="90" t="s">
        <v>115</v>
      </c>
      <c r="D136" s="90" t="s">
        <v>116</v>
      </c>
      <c r="E136" s="90" t="s">
        <v>117</v>
      </c>
      <c r="F136" t="s">
        <v>118</v>
      </c>
    </row>
    <row r="137" spans="1:10">
      <c r="A137" s="85" t="s">
        <v>119</v>
      </c>
      <c r="B137" s="83">
        <f>H141/H142</f>
        <v>13.747756138274333</v>
      </c>
      <c r="C137" s="83">
        <f t="shared" ref="C137:D137" si="22">I141/I142</f>
        <v>31.07386263962772</v>
      </c>
      <c r="D137" s="83">
        <f t="shared" si="22"/>
        <v>14.331392635491717</v>
      </c>
      <c r="E137" s="91">
        <f>MEDIAN(B137:D137)</f>
        <v>14.331392635491717</v>
      </c>
      <c r="F137" s="94">
        <f>E137*J142</f>
        <v>243</v>
      </c>
    </row>
    <row r="138" spans="1:10">
      <c r="A138" s="85" t="s">
        <v>120</v>
      </c>
      <c r="B138" s="83">
        <f>H146/H147</f>
        <v>7.4232370109950541</v>
      </c>
      <c r="C138" s="83">
        <f t="shared" ref="C138:D138" si="23">I146/I147</f>
        <v>20.099805659825321</v>
      </c>
      <c r="D138" s="83">
        <f t="shared" si="23"/>
        <v>8.3800585161448726</v>
      </c>
      <c r="E138" s="91">
        <f>MEDIAN(B138:D138)</f>
        <v>8.3800585161448726</v>
      </c>
      <c r="F138" s="29">
        <f>E138*J147</f>
        <v>3527435093000</v>
      </c>
    </row>
    <row r="139" spans="1:10" ht="15.75" customHeight="1">
      <c r="A139" s="86" t="s">
        <v>121</v>
      </c>
      <c r="B139" s="83">
        <f>H146/H148</f>
        <v>3.3853545542020069</v>
      </c>
      <c r="C139" s="83">
        <f t="shared" ref="C139:D139" si="24">I146/I148</f>
        <v>9.5891547878158612</v>
      </c>
      <c r="D139" s="83">
        <f t="shared" si="24"/>
        <v>3.3080927538903553</v>
      </c>
      <c r="E139" s="91">
        <f>MEDIAN(B139:D139)</f>
        <v>3.3853545542020069</v>
      </c>
    </row>
    <row r="140" spans="1:10">
      <c r="H140" s="90" t="s">
        <v>122</v>
      </c>
      <c r="I140" s="90" t="s">
        <v>115</v>
      </c>
      <c r="J140" s="90" t="s">
        <v>116</v>
      </c>
    </row>
    <row r="141" spans="1:10">
      <c r="G141" t="s">
        <v>123</v>
      </c>
      <c r="H141">
        <v>823</v>
      </c>
      <c r="I141">
        <v>326.7</v>
      </c>
      <c r="J141">
        <v>243</v>
      </c>
    </row>
    <row r="142" spans="1:10" ht="29">
      <c r="G142" s="87" t="s">
        <v>124</v>
      </c>
      <c r="H142" s="83">
        <f>H152/H153</f>
        <v>59.864314708691502</v>
      </c>
      <c r="I142" s="83">
        <f t="shared" ref="I142:J142" si="25">I152/I153</f>
        <v>10.513659141408692</v>
      </c>
      <c r="J142" s="91">
        <f t="shared" si="25"/>
        <v>16.955784143280681</v>
      </c>
    </row>
    <row r="143" spans="1:10" ht="43.5">
      <c r="A143" s="55" t="s">
        <v>125</v>
      </c>
      <c r="B143" s="102">
        <f>0.5*B105+0.5*F137</f>
        <v>146.44999999999999</v>
      </c>
      <c r="G143" s="87" t="s">
        <v>126</v>
      </c>
      <c r="H143" s="29">
        <f>H141*H153</f>
        <v>13786896000000</v>
      </c>
      <c r="I143" s="29">
        <f t="shared" ref="I143:J143" si="26">I141*I153</f>
        <v>11063484451800</v>
      </c>
      <c r="J143" s="29">
        <f t="shared" si="26"/>
        <v>3914194428000</v>
      </c>
    </row>
    <row r="144" spans="1:10" ht="15.5">
      <c r="G144" s="56" t="s">
        <v>127</v>
      </c>
      <c r="H144" s="82">
        <v>1190393000000</v>
      </c>
      <c r="I144" s="82">
        <v>526775226000</v>
      </c>
      <c r="J144" s="82">
        <v>1307973000</v>
      </c>
    </row>
    <row r="145" spans="1:10" ht="15.5">
      <c r="G145" s="56" t="s">
        <v>128</v>
      </c>
      <c r="H145" s="82">
        <v>397569000000</v>
      </c>
      <c r="I145" s="82">
        <v>280379968000</v>
      </c>
      <c r="J145" s="82">
        <v>388067308000</v>
      </c>
    </row>
    <row r="146" spans="1:10" ht="29">
      <c r="A146" s="96" t="s">
        <v>129</v>
      </c>
      <c r="G146" s="88" t="s">
        <v>130</v>
      </c>
      <c r="H146" s="29">
        <f>H143+H144-H145</f>
        <v>14579720000000</v>
      </c>
      <c r="I146" s="29">
        <f t="shared" ref="I146:J146" si="27">I143+I144-I145</f>
        <v>11309879709800</v>
      </c>
      <c r="J146" s="92">
        <f t="shared" si="27"/>
        <v>3527435093000</v>
      </c>
    </row>
    <row r="147" spans="1:10" ht="15.5">
      <c r="A147" s="95" t="s">
        <v>131</v>
      </c>
      <c r="B147" s="2">
        <f>B105</f>
        <v>49.9</v>
      </c>
      <c r="G147" s="56" t="s">
        <v>6</v>
      </c>
      <c r="H147" s="82">
        <v>1964065000000</v>
      </c>
      <c r="I147" s="82">
        <v>562686023000</v>
      </c>
      <c r="J147" s="93">
        <v>420932036000</v>
      </c>
    </row>
    <row r="148" spans="1:10" ht="15.5">
      <c r="A148" s="95" t="s">
        <v>113</v>
      </c>
      <c r="B148" s="2">
        <f>F137</f>
        <v>243</v>
      </c>
      <c r="G148" s="56" t="s">
        <v>37</v>
      </c>
      <c r="H148" s="84">
        <v>4306704000000</v>
      </c>
      <c r="I148" s="82">
        <v>1179444900000</v>
      </c>
      <c r="J148" s="23">
        <f>F50</f>
        <v>1066304773000</v>
      </c>
    </row>
    <row r="149" spans="1:10">
      <c r="A149" s="95" t="s">
        <v>132</v>
      </c>
      <c r="B149" s="2">
        <f>B143</f>
        <v>146.44999999999999</v>
      </c>
    </row>
    <row r="150" spans="1:10">
      <c r="A150" s="95" t="s">
        <v>133</v>
      </c>
      <c r="B150" s="2">
        <f>J141</f>
        <v>243</v>
      </c>
    </row>
    <row r="152" spans="1:10" ht="15.5">
      <c r="A152" s="96" t="s">
        <v>134</v>
      </c>
      <c r="B152" s="83"/>
      <c r="C152" s="83"/>
      <c r="D152" s="104" t="s">
        <v>135</v>
      </c>
      <c r="G152" s="56" t="s">
        <v>136</v>
      </c>
      <c r="H152" s="82">
        <v>1002847000000</v>
      </c>
      <c r="I152" s="82">
        <v>356038275000</v>
      </c>
      <c r="J152" s="82">
        <v>273120312000</v>
      </c>
    </row>
    <row r="153" spans="1:10" ht="58">
      <c r="A153" s="95" t="s">
        <v>131</v>
      </c>
      <c r="B153" s="103" t="s">
        <v>137</v>
      </c>
      <c r="C153" s="103" t="s">
        <v>138</v>
      </c>
      <c r="D153" s="103" t="s">
        <v>139</v>
      </c>
      <c r="G153" s="56" t="s">
        <v>140</v>
      </c>
      <c r="H153" s="82">
        <v>16752000000</v>
      </c>
      <c r="I153" s="82">
        <v>33864354000</v>
      </c>
      <c r="J153" s="23">
        <f>F59</f>
        <v>16107796000</v>
      </c>
    </row>
    <row r="154" spans="1:10">
      <c r="A154" s="95"/>
      <c r="C154" s="103"/>
    </row>
    <row r="155" spans="1:10">
      <c r="A155" s="95"/>
    </row>
    <row r="156" spans="1:10">
      <c r="A156" s="95"/>
    </row>
    <row r="159" spans="1:10" ht="29">
      <c r="A159" s="2" t="s">
        <v>141</v>
      </c>
      <c r="B159" s="103" t="s">
        <v>139</v>
      </c>
    </row>
    <row r="160" spans="1:10" ht="29">
      <c r="A160" s="2" t="s">
        <v>131</v>
      </c>
      <c r="B160" s="103" t="s">
        <v>142</v>
      </c>
    </row>
    <row r="161" spans="1:3" ht="29">
      <c r="A161" s="2" t="s">
        <v>58</v>
      </c>
      <c r="B161" s="103" t="s">
        <v>143</v>
      </c>
    </row>
    <row r="162" spans="1:3" ht="29">
      <c r="A162" s="107" t="s">
        <v>280</v>
      </c>
      <c r="B162" s="108" t="s">
        <v>281</v>
      </c>
      <c r="C162" s="108" t="s">
        <v>282</v>
      </c>
    </row>
    <row r="163" spans="1:3" ht="29">
      <c r="A163" s="107" t="s">
        <v>283</v>
      </c>
      <c r="B163" s="108" t="s">
        <v>284</v>
      </c>
      <c r="C163" s="109"/>
    </row>
    <row r="164" spans="1:3">
      <c r="A164" s="107"/>
      <c r="B164" s="109"/>
      <c r="C164" s="109"/>
    </row>
    <row r="165" spans="1:3" ht="29">
      <c r="A165" s="110" t="s">
        <v>285</v>
      </c>
      <c r="B165" s="111" t="s">
        <v>286</v>
      </c>
      <c r="C165" s="112" t="s">
        <v>287</v>
      </c>
    </row>
    <row r="166" spans="1:3" ht="43.5">
      <c r="A166" s="113" t="s">
        <v>288</v>
      </c>
      <c r="B166" s="114" t="s">
        <v>289</v>
      </c>
      <c r="C166" s="115" t="s">
        <v>290</v>
      </c>
    </row>
    <row r="167" spans="1:3">
      <c r="A167" s="107"/>
      <c r="B167" s="109"/>
      <c r="C167" s="109"/>
    </row>
    <row r="168" spans="1:3" ht="116">
      <c r="A168" s="107" t="s">
        <v>291</v>
      </c>
      <c r="B168" s="108" t="s">
        <v>292</v>
      </c>
      <c r="C168" s="109"/>
    </row>
  </sheetData>
  <mergeCells count="1">
    <mergeCell ref="A112:G1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FEFF-89E6-4581-AC59-AA1F6ADC9955}">
  <dimension ref="A1:M146"/>
  <sheetViews>
    <sheetView topLeftCell="A9" workbookViewId="0">
      <selection activeCell="L10" sqref="L10"/>
    </sheetView>
  </sheetViews>
  <sheetFormatPr defaultRowHeight="14.5"/>
  <cols>
    <col min="1" max="1" width="33.1796875" customWidth="1"/>
    <col min="2" max="2" width="20.1796875" customWidth="1"/>
    <col min="3" max="3" width="19.26953125" customWidth="1"/>
    <col min="4" max="4" width="19.453125" customWidth="1"/>
    <col min="5" max="5" width="20.453125" customWidth="1"/>
    <col min="6" max="6" width="20" customWidth="1"/>
    <col min="9" max="9" width="11.1796875" customWidth="1"/>
    <col min="10" max="10" width="13.81640625" customWidth="1"/>
    <col min="11" max="11" width="12.453125" customWidth="1"/>
    <col min="12" max="12" width="13.453125" customWidth="1"/>
    <col min="13" max="13" width="13" customWidth="1"/>
  </cols>
  <sheetData>
    <row r="1" spans="1:13" ht="17">
      <c r="A1" s="71" t="s">
        <v>144</v>
      </c>
      <c r="B1" s="71" t="s">
        <v>145</v>
      </c>
      <c r="C1" s="71" t="s">
        <v>146</v>
      </c>
      <c r="D1" s="71" t="s">
        <v>147</v>
      </c>
      <c r="E1" s="71" t="s">
        <v>148</v>
      </c>
      <c r="F1" s="71" t="s">
        <v>149</v>
      </c>
      <c r="G1" s="72" t="s">
        <v>150</v>
      </c>
    </row>
    <row r="2" spans="1:13" ht="17">
      <c r="A2" s="71" t="s">
        <v>151</v>
      </c>
      <c r="B2" s="73">
        <v>46022</v>
      </c>
      <c r="C2" s="73">
        <v>45657</v>
      </c>
      <c r="D2" s="73">
        <v>45291</v>
      </c>
      <c r="E2" s="73">
        <v>44926</v>
      </c>
      <c r="F2" s="73">
        <v>44561</v>
      </c>
      <c r="G2" s="72" t="s">
        <v>150</v>
      </c>
    </row>
    <row r="3" spans="1:13" ht="17">
      <c r="A3" s="70" t="s">
        <v>152</v>
      </c>
      <c r="B3" s="7">
        <v>1066304773000</v>
      </c>
      <c r="C3" s="7">
        <v>696757959000</v>
      </c>
      <c r="D3" s="7">
        <v>405502712000</v>
      </c>
      <c r="E3" s="7">
        <v>373244938000</v>
      </c>
      <c r="F3" s="7">
        <v>293086183000</v>
      </c>
      <c r="G3" s="74" t="s">
        <v>153</v>
      </c>
    </row>
    <row r="4" spans="1:13" ht="17">
      <c r="A4" s="3" t="s">
        <v>154</v>
      </c>
      <c r="B4" s="4">
        <v>0.53037999999999996</v>
      </c>
      <c r="C4" s="4">
        <v>0.71826000000000001</v>
      </c>
      <c r="D4" s="4">
        <v>8.6430000000000007E-2</v>
      </c>
      <c r="E4" s="4">
        <v>0.27350000000000002</v>
      </c>
      <c r="F4" s="4">
        <v>0.27112000000000003</v>
      </c>
      <c r="G4" s="75" t="s">
        <v>153</v>
      </c>
      <c r="L4">
        <v>1000</v>
      </c>
    </row>
    <row r="5" spans="1:13" ht="17.5">
      <c r="A5" s="20" t="s">
        <v>155</v>
      </c>
      <c r="B5" s="7">
        <v>450061300000</v>
      </c>
      <c r="C5" s="7">
        <v>350931488000</v>
      </c>
      <c r="D5" s="7">
        <v>199129211000</v>
      </c>
      <c r="E5" s="7">
        <v>177235018000</v>
      </c>
      <c r="F5" s="7">
        <v>145805821000</v>
      </c>
      <c r="G5" s="74" t="s">
        <v>153</v>
      </c>
    </row>
    <row r="6" spans="1:13" ht="17">
      <c r="A6" s="3" t="s">
        <v>156</v>
      </c>
      <c r="B6" s="22">
        <v>616243473000</v>
      </c>
      <c r="C6" s="22">
        <v>345826471000</v>
      </c>
      <c r="D6" s="22">
        <v>206373501000</v>
      </c>
      <c r="E6" s="22">
        <v>196009920000</v>
      </c>
      <c r="F6" s="22">
        <v>147280362000</v>
      </c>
      <c r="G6" s="75" t="s">
        <v>153</v>
      </c>
    </row>
    <row r="7" spans="1:13" ht="17">
      <c r="A7" s="5" t="s">
        <v>157</v>
      </c>
      <c r="B7" s="7">
        <v>225109535000</v>
      </c>
      <c r="C7" s="7">
        <v>156414149000</v>
      </c>
      <c r="D7" s="7">
        <v>103316644000</v>
      </c>
      <c r="E7" s="7">
        <v>110216462000</v>
      </c>
      <c r="F7" s="7">
        <v>76185097000</v>
      </c>
      <c r="G7" s="74" t="s">
        <v>153</v>
      </c>
    </row>
    <row r="8" spans="1:13" ht="17">
      <c r="A8" s="5" t="s">
        <v>158</v>
      </c>
      <c r="B8" s="7">
        <v>2399854000</v>
      </c>
      <c r="C8" s="7">
        <v>1749607000</v>
      </c>
      <c r="D8" s="7">
        <v>1512328000</v>
      </c>
      <c r="E8" s="7">
        <v>1466172000</v>
      </c>
      <c r="F8" s="7">
        <v>1535634000</v>
      </c>
      <c r="G8" s="74" t="s">
        <v>153</v>
      </c>
    </row>
    <row r="9" spans="1:13" ht="17.5">
      <c r="A9" s="20" t="s">
        <v>159</v>
      </c>
      <c r="B9" s="7">
        <v>228074000000</v>
      </c>
      <c r="C9" s="7">
        <v>158487210000</v>
      </c>
      <c r="D9" s="7">
        <v>104797258000</v>
      </c>
      <c r="E9" s="7">
        <v>112113803000</v>
      </c>
      <c r="F9" s="7">
        <v>77746334000</v>
      </c>
      <c r="G9" s="74" t="s">
        <v>153</v>
      </c>
    </row>
    <row r="10" spans="1:13" ht="17">
      <c r="A10" s="3" t="s">
        <v>160</v>
      </c>
      <c r="B10" s="22">
        <v>388169473000</v>
      </c>
      <c r="C10" s="22">
        <v>187339261000</v>
      </c>
      <c r="D10" s="22">
        <v>101576243000</v>
      </c>
      <c r="E10" s="22">
        <v>83896117000</v>
      </c>
      <c r="F10" s="22">
        <v>69534028000</v>
      </c>
      <c r="G10" s="75" t="s">
        <v>153</v>
      </c>
    </row>
    <row r="11" spans="1:13" ht="17.5">
      <c r="A11" s="20" t="s">
        <v>55</v>
      </c>
      <c r="B11" s="7">
        <v>256320000</v>
      </c>
      <c r="C11" s="7">
        <v>1428577000</v>
      </c>
      <c r="D11" s="7">
        <v>562397000</v>
      </c>
      <c r="E11" s="7">
        <v>766862000</v>
      </c>
      <c r="F11" s="7">
        <v>3763760000</v>
      </c>
      <c r="G11" s="74" t="s">
        <v>153</v>
      </c>
      <c r="I11" s="7"/>
      <c r="J11" s="7"/>
      <c r="K11" s="7"/>
      <c r="L11" s="7"/>
      <c r="M11" s="7"/>
    </row>
    <row r="12" spans="1:13" ht="17">
      <c r="A12" s="5" t="s">
        <v>161</v>
      </c>
      <c r="B12" s="7">
        <v>25079530000</v>
      </c>
      <c r="C12" s="7">
        <v>2061684000</v>
      </c>
      <c r="D12" s="7">
        <v>4653535000</v>
      </c>
      <c r="E12" s="7">
        <v>1486857000</v>
      </c>
      <c r="F12" s="7">
        <v>527487000</v>
      </c>
      <c r="G12" s="74" t="s">
        <v>153</v>
      </c>
    </row>
    <row r="13" spans="1:13" ht="17">
      <c r="A13" s="5" t="s">
        <v>162</v>
      </c>
      <c r="B13" s="8" t="s">
        <v>47</v>
      </c>
      <c r="C13" s="8" t="s">
        <v>47</v>
      </c>
      <c r="D13" s="8" t="s">
        <v>47</v>
      </c>
      <c r="E13" s="8" t="s">
        <v>47</v>
      </c>
      <c r="F13" s="7">
        <v>683310000</v>
      </c>
      <c r="G13" s="74" t="s">
        <v>153</v>
      </c>
    </row>
    <row r="14" spans="1:13" ht="17">
      <c r="A14" s="5" t="s">
        <v>163</v>
      </c>
      <c r="B14" s="7">
        <v>-666735000</v>
      </c>
      <c r="C14" s="7">
        <v>-24271175000</v>
      </c>
      <c r="D14" s="7">
        <v>-21044508000</v>
      </c>
      <c r="E14" s="7">
        <v>-13128577000</v>
      </c>
      <c r="F14" s="7">
        <v>1185888000</v>
      </c>
      <c r="G14" s="74" t="s">
        <v>153</v>
      </c>
    </row>
    <row r="15" spans="1:13" ht="17">
      <c r="A15" s="5" t="s">
        <v>164</v>
      </c>
      <c r="B15" s="7">
        <v>-5024982000</v>
      </c>
      <c r="C15" s="7">
        <v>-16819404000</v>
      </c>
      <c r="D15" s="7">
        <v>-4333232000</v>
      </c>
      <c r="E15" s="7">
        <v>-1767431000</v>
      </c>
      <c r="F15" s="7">
        <v>-1334009000</v>
      </c>
      <c r="G15" s="74" t="s">
        <v>153</v>
      </c>
    </row>
    <row r="16" spans="1:13" ht="17">
      <c r="A16" s="5" t="s">
        <v>165</v>
      </c>
      <c r="B16" s="7">
        <v>407300966000</v>
      </c>
      <c r="C16" s="7">
        <v>146881789000</v>
      </c>
      <c r="D16" s="7">
        <v>80289641000</v>
      </c>
      <c r="E16" s="7">
        <v>69720104000</v>
      </c>
      <c r="F16" s="7">
        <v>66832944000</v>
      </c>
      <c r="G16" s="74" t="s">
        <v>153</v>
      </c>
    </row>
    <row r="17" spans="1:11" ht="17">
      <c r="A17" s="5" t="s">
        <v>166</v>
      </c>
      <c r="B17" s="8" t="s">
        <v>47</v>
      </c>
      <c r="C17" s="8" t="s">
        <v>47</v>
      </c>
      <c r="D17" s="8" t="s">
        <v>47</v>
      </c>
      <c r="E17" s="8" t="s">
        <v>47</v>
      </c>
      <c r="F17" s="7">
        <v>133922000</v>
      </c>
      <c r="G17" s="74" t="s">
        <v>153</v>
      </c>
    </row>
    <row r="18" spans="1:11" ht="17">
      <c r="A18" s="5" t="s">
        <v>167</v>
      </c>
      <c r="B18" s="7">
        <v>229941000</v>
      </c>
      <c r="C18" s="7">
        <v>965959000</v>
      </c>
      <c r="D18" s="7">
        <v>404970000</v>
      </c>
      <c r="E18" s="7">
        <v>24597000</v>
      </c>
      <c r="F18" s="7">
        <v>89742000</v>
      </c>
      <c r="G18" s="74" t="s">
        <v>153</v>
      </c>
    </row>
    <row r="19" spans="1:11" ht="17">
      <c r="A19" s="5" t="s">
        <v>168</v>
      </c>
      <c r="B19" s="8" t="s">
        <v>47</v>
      </c>
      <c r="C19" s="7">
        <v>4671207000</v>
      </c>
      <c r="D19" s="8" t="s">
        <v>47</v>
      </c>
      <c r="E19" s="8" t="s">
        <v>47</v>
      </c>
      <c r="F19" s="7">
        <v>-4802130000</v>
      </c>
      <c r="G19" s="74" t="s">
        <v>153</v>
      </c>
      <c r="K19" t="s">
        <v>169</v>
      </c>
    </row>
    <row r="20" spans="1:11" ht="17">
      <c r="A20" s="3" t="s">
        <v>170</v>
      </c>
      <c r="B20" s="22">
        <v>411316628000</v>
      </c>
      <c r="C20" s="22">
        <v>152518955000</v>
      </c>
      <c r="D20" s="22">
        <v>80694611000</v>
      </c>
      <c r="E20" s="22">
        <v>69744701000</v>
      </c>
      <c r="F20" s="22">
        <v>62254478000</v>
      </c>
      <c r="G20" s="75" t="s">
        <v>153</v>
      </c>
    </row>
    <row r="21" spans="1:11" ht="17.5">
      <c r="A21" s="20" t="s">
        <v>171</v>
      </c>
      <c r="B21" s="7">
        <v>138196316000</v>
      </c>
      <c r="C21" s="7">
        <v>52373673000</v>
      </c>
      <c r="D21" s="7">
        <v>29553541000</v>
      </c>
      <c r="E21" s="7">
        <v>16097245000</v>
      </c>
      <c r="F21" s="7">
        <v>11250929000</v>
      </c>
      <c r="G21" s="74" t="s">
        <v>153</v>
      </c>
    </row>
    <row r="22" spans="1:11" ht="17">
      <c r="A22" s="5" t="s">
        <v>172</v>
      </c>
      <c r="B22" s="7">
        <v>273120312000</v>
      </c>
      <c r="C22" s="7">
        <v>100145282000</v>
      </c>
      <c r="D22" s="7">
        <v>51141070000</v>
      </c>
      <c r="E22" s="7">
        <v>53647456000</v>
      </c>
      <c r="F22" s="7">
        <v>51003549000</v>
      </c>
      <c r="G22" s="74" t="s">
        <v>153</v>
      </c>
    </row>
    <row r="23" spans="1:11" ht="17">
      <c r="A23" s="5" t="s">
        <v>173</v>
      </c>
      <c r="B23" s="7">
        <v>273120312000</v>
      </c>
      <c r="C23" s="7">
        <v>100145282000</v>
      </c>
      <c r="D23" s="7">
        <v>51141070000</v>
      </c>
      <c r="E23" s="7">
        <v>53647456000</v>
      </c>
      <c r="F23" s="7">
        <v>51003549000</v>
      </c>
      <c r="G23" s="74" t="s">
        <v>153</v>
      </c>
    </row>
    <row r="24" spans="1:11" ht="17">
      <c r="A24" s="5" t="s">
        <v>174</v>
      </c>
      <c r="B24" s="7">
        <v>273120312000</v>
      </c>
      <c r="C24" s="7">
        <v>100145282000</v>
      </c>
      <c r="D24" s="7">
        <v>51141070000</v>
      </c>
      <c r="E24" s="7">
        <v>53647456000</v>
      </c>
      <c r="F24" s="7">
        <v>51003549000</v>
      </c>
      <c r="G24" s="74" t="s">
        <v>153</v>
      </c>
    </row>
    <row r="25" spans="1:11" ht="17">
      <c r="A25" s="5" t="s">
        <v>175</v>
      </c>
      <c r="B25" s="7">
        <v>273120312000</v>
      </c>
      <c r="C25" s="7">
        <v>100145282000</v>
      </c>
      <c r="D25" s="7">
        <v>51141070000</v>
      </c>
      <c r="E25" s="7">
        <v>53647456000</v>
      </c>
      <c r="F25" s="7">
        <v>51003549000</v>
      </c>
      <c r="G25" s="74" t="s">
        <v>153</v>
      </c>
    </row>
    <row r="26" spans="1:11" ht="17">
      <c r="A26" s="5" t="s">
        <v>176</v>
      </c>
      <c r="B26" s="9">
        <v>1.7272400000000001</v>
      </c>
      <c r="C26" s="9">
        <v>0.95821999999999996</v>
      </c>
      <c r="D26" s="10">
        <v>-4.6719999999999998E-2</v>
      </c>
      <c r="E26" s="9">
        <v>5.1839999999999997E-2</v>
      </c>
      <c r="F26" s="9">
        <v>0.65369999999999995</v>
      </c>
      <c r="G26" s="74" t="s">
        <v>153</v>
      </c>
    </row>
    <row r="27" spans="1:11" ht="17.5">
      <c r="A27" s="20" t="s">
        <v>177</v>
      </c>
      <c r="B27" s="7">
        <v>16107796000</v>
      </c>
      <c r="C27" s="7">
        <v>16107796000</v>
      </c>
      <c r="D27" s="7">
        <v>16107796000</v>
      </c>
      <c r="E27" s="7">
        <v>16107796000</v>
      </c>
      <c r="F27" s="7">
        <v>16107796000</v>
      </c>
      <c r="G27" s="76" t="s">
        <v>153</v>
      </c>
    </row>
    <row r="28" spans="1:11" ht="17.5">
      <c r="A28" s="20" t="s">
        <v>178</v>
      </c>
      <c r="B28" s="7">
        <v>16107796000</v>
      </c>
      <c r="C28" s="7">
        <v>16107796000</v>
      </c>
      <c r="D28" s="7">
        <v>16107796000</v>
      </c>
      <c r="E28" s="7">
        <v>16107796000</v>
      </c>
      <c r="F28" s="7">
        <v>16107796000</v>
      </c>
      <c r="G28" s="74" t="s">
        <v>153</v>
      </c>
    </row>
    <row r="29" spans="1:11" ht="17">
      <c r="A29" s="5" t="s">
        <v>179</v>
      </c>
      <c r="B29" s="6">
        <v>16.956</v>
      </c>
      <c r="C29" s="6">
        <v>6.2169999999999996</v>
      </c>
      <c r="D29" s="6">
        <v>3.1749999999999998</v>
      </c>
      <c r="E29" s="6">
        <v>3.331</v>
      </c>
      <c r="F29" s="6">
        <v>3.1659999999999999</v>
      </c>
      <c r="G29" s="74" t="s">
        <v>153</v>
      </c>
    </row>
    <row r="30" spans="1:11" ht="17">
      <c r="A30" s="5" t="s">
        <v>180</v>
      </c>
      <c r="B30" s="6">
        <v>16.956</v>
      </c>
      <c r="C30" s="6">
        <v>6.2169999999999996</v>
      </c>
      <c r="D30" s="6">
        <v>3.17</v>
      </c>
      <c r="E30" s="6">
        <v>3.33</v>
      </c>
      <c r="F30" s="6">
        <v>3.1659999999999999</v>
      </c>
      <c r="G30" s="74" t="s">
        <v>153</v>
      </c>
    </row>
    <row r="31" spans="1:11" ht="17">
      <c r="A31" s="3" t="s">
        <v>181</v>
      </c>
      <c r="B31" s="4">
        <v>1.7272400000000001</v>
      </c>
      <c r="C31" s="4">
        <v>0.96126</v>
      </c>
      <c r="D31" s="11">
        <v>-4.8050000000000002E-2</v>
      </c>
      <c r="E31" s="4">
        <v>5.1670000000000001E-2</v>
      </c>
      <c r="F31" s="4">
        <v>0.65780000000000005</v>
      </c>
      <c r="G31" s="75" t="s">
        <v>153</v>
      </c>
    </row>
    <row r="32" spans="1:11" ht="17">
      <c r="A32" s="5" t="s">
        <v>182</v>
      </c>
      <c r="B32" s="7">
        <v>218019296000</v>
      </c>
      <c r="C32" s="7">
        <v>139458677000</v>
      </c>
      <c r="D32" s="7">
        <v>109408227000</v>
      </c>
      <c r="E32" s="7">
        <v>77460828000</v>
      </c>
      <c r="F32" s="7">
        <v>50041230000</v>
      </c>
      <c r="G32" s="74" t="s">
        <v>153</v>
      </c>
    </row>
    <row r="33" spans="1:7" ht="17">
      <c r="A33" s="3" t="s">
        <v>183</v>
      </c>
      <c r="B33" s="12">
        <v>13.535</v>
      </c>
      <c r="C33" s="12">
        <v>8.6579999999999995</v>
      </c>
      <c r="D33" s="12">
        <v>6.7919999999999998</v>
      </c>
      <c r="E33" s="12">
        <v>4.8090000000000002</v>
      </c>
      <c r="F33" s="12">
        <v>3.1070000000000002</v>
      </c>
      <c r="G33" s="75" t="s">
        <v>153</v>
      </c>
    </row>
    <row r="34" spans="1:7" ht="17">
      <c r="A34" s="5" t="s">
        <v>184</v>
      </c>
      <c r="B34" s="6">
        <v>10</v>
      </c>
      <c r="C34" s="6">
        <v>1.2</v>
      </c>
      <c r="D34" s="6">
        <v>1.9</v>
      </c>
      <c r="E34" s="6">
        <v>2</v>
      </c>
      <c r="F34" s="6">
        <v>2</v>
      </c>
      <c r="G34" s="74" t="s">
        <v>153</v>
      </c>
    </row>
    <row r="35" spans="1:7" ht="17">
      <c r="A35" s="3" t="s">
        <v>185</v>
      </c>
      <c r="B35" s="4">
        <v>7.3333300000000001</v>
      </c>
      <c r="C35" s="11">
        <v>-0.36842000000000003</v>
      </c>
      <c r="D35" s="11">
        <v>-0.05</v>
      </c>
      <c r="E35" s="13" t="s">
        <v>47</v>
      </c>
      <c r="F35" s="4">
        <v>1</v>
      </c>
      <c r="G35" s="75" t="s">
        <v>153</v>
      </c>
    </row>
    <row r="36" spans="1:7" ht="17">
      <c r="A36" s="5" t="s">
        <v>186</v>
      </c>
      <c r="B36" s="14">
        <v>0.57791999999999999</v>
      </c>
      <c r="C36" s="14">
        <v>0.49634</v>
      </c>
      <c r="D36" s="14">
        <v>0.50892999999999999</v>
      </c>
      <c r="E36" s="14">
        <v>0.52515000000000001</v>
      </c>
      <c r="F36" s="14">
        <v>0.50251999999999997</v>
      </c>
      <c r="G36" s="74" t="s">
        <v>153</v>
      </c>
    </row>
    <row r="37" spans="1:7" ht="17">
      <c r="A37" s="5" t="s">
        <v>187</v>
      </c>
      <c r="B37" s="14">
        <v>0.36403000000000002</v>
      </c>
      <c r="C37" s="14">
        <v>0.26887</v>
      </c>
      <c r="D37" s="14">
        <v>0.25048999999999999</v>
      </c>
      <c r="E37" s="14">
        <v>0.22477</v>
      </c>
      <c r="F37" s="14">
        <v>0.23724999999999999</v>
      </c>
      <c r="G37" s="74" t="s">
        <v>153</v>
      </c>
    </row>
    <row r="38" spans="1:7" ht="17">
      <c r="A38" s="5" t="s">
        <v>188</v>
      </c>
      <c r="B38" s="14">
        <v>0.25613999999999998</v>
      </c>
      <c r="C38" s="14">
        <v>0.14373</v>
      </c>
      <c r="D38" s="14">
        <v>0.12612000000000001</v>
      </c>
      <c r="E38" s="14">
        <v>0.14373</v>
      </c>
      <c r="F38" s="14">
        <v>0.17402000000000001</v>
      </c>
      <c r="G38" s="74" t="s">
        <v>153</v>
      </c>
    </row>
    <row r="39" spans="1:7" ht="17">
      <c r="A39" s="3" t="s">
        <v>189</v>
      </c>
      <c r="B39" s="15">
        <v>0.20446</v>
      </c>
      <c r="C39" s="15">
        <v>0.20014999999999999</v>
      </c>
      <c r="D39" s="15">
        <v>0.26980999999999999</v>
      </c>
      <c r="E39" s="15">
        <v>0.20752999999999999</v>
      </c>
      <c r="F39" s="15">
        <v>0.17074</v>
      </c>
      <c r="G39" s="75" t="s">
        <v>153</v>
      </c>
    </row>
    <row r="40" spans="1:7" ht="17">
      <c r="A40" s="5" t="s">
        <v>6</v>
      </c>
      <c r="B40" s="7">
        <v>420932036000</v>
      </c>
      <c r="C40" s="7">
        <v>215284413000</v>
      </c>
      <c r="D40" s="7">
        <v>126391697000</v>
      </c>
      <c r="E40" s="7">
        <v>105234219000</v>
      </c>
      <c r="F40" s="7">
        <v>93357532000</v>
      </c>
      <c r="G40" s="74" t="s">
        <v>153</v>
      </c>
    </row>
    <row r="41" spans="1:7" ht="17">
      <c r="A41" s="5" t="s">
        <v>190</v>
      </c>
      <c r="B41" s="14">
        <v>0.39476</v>
      </c>
      <c r="C41" s="14">
        <v>0.30897999999999998</v>
      </c>
      <c r="D41" s="14">
        <v>0.31169000000000002</v>
      </c>
      <c r="E41" s="14">
        <v>0.28194000000000002</v>
      </c>
      <c r="F41" s="14">
        <v>0.31852999999999998</v>
      </c>
      <c r="G41" s="74" t="s">
        <v>153</v>
      </c>
    </row>
    <row r="42" spans="1:7" ht="17">
      <c r="A42" s="5" t="s">
        <v>191</v>
      </c>
      <c r="B42" s="7">
        <v>32762563000</v>
      </c>
      <c r="C42" s="7">
        <v>27945152000</v>
      </c>
      <c r="D42" s="7">
        <v>24815454000</v>
      </c>
      <c r="E42" s="7">
        <v>21338102000</v>
      </c>
      <c r="F42" s="7">
        <v>23823504000</v>
      </c>
      <c r="G42" s="74" t="s">
        <v>153</v>
      </c>
    </row>
    <row r="43" spans="1:7" ht="17">
      <c r="A43" s="5" t="s">
        <v>9</v>
      </c>
      <c r="B43" s="7">
        <v>388169473000</v>
      </c>
      <c r="C43" s="7">
        <v>187339261000</v>
      </c>
      <c r="D43" s="7">
        <v>101576243000</v>
      </c>
      <c r="E43" s="7">
        <v>83896117000</v>
      </c>
      <c r="F43" s="7">
        <v>69534028000</v>
      </c>
      <c r="G43" s="74" t="s">
        <v>153</v>
      </c>
    </row>
    <row r="44" spans="1:7" ht="17">
      <c r="A44" s="3" t="s">
        <v>192</v>
      </c>
      <c r="B44" s="15">
        <v>0.36403000000000002</v>
      </c>
      <c r="C44" s="15">
        <v>0.26887</v>
      </c>
      <c r="D44" s="15">
        <v>0.25048999999999999</v>
      </c>
      <c r="E44" s="15">
        <v>0.22477</v>
      </c>
      <c r="F44" s="15">
        <v>0.23724999999999999</v>
      </c>
      <c r="G44" s="75" t="s">
        <v>153</v>
      </c>
    </row>
    <row r="45" spans="1:7" ht="17">
      <c r="A45" s="5" t="s">
        <v>193</v>
      </c>
      <c r="B45" s="14">
        <v>0.33599000000000001</v>
      </c>
      <c r="C45" s="14">
        <v>0.34338999999999997</v>
      </c>
      <c r="D45" s="14">
        <v>0.36624000000000001</v>
      </c>
      <c r="E45" s="14">
        <v>0.23080000000000001</v>
      </c>
      <c r="F45" s="14">
        <v>0.18071999999999999</v>
      </c>
      <c r="G45" s="74" t="s">
        <v>153</v>
      </c>
    </row>
    <row r="46" spans="1:7" ht="17">
      <c r="A46" s="16" t="s">
        <v>194</v>
      </c>
      <c r="B46" s="1">
        <v>2874603000</v>
      </c>
      <c r="C46" s="1">
        <v>2102731000</v>
      </c>
      <c r="D46" s="1">
        <v>1661349000</v>
      </c>
      <c r="E46" s="1">
        <v>1713779000</v>
      </c>
      <c r="F46" s="1">
        <v>1038358000</v>
      </c>
      <c r="G46" s="17"/>
    </row>
    <row r="49" spans="1:7">
      <c r="A49" s="2" t="s">
        <v>195</v>
      </c>
    </row>
    <row r="50" spans="1:7" ht="17">
      <c r="A50" s="71" t="s">
        <v>144</v>
      </c>
      <c r="B50" s="71" t="s">
        <v>145</v>
      </c>
      <c r="C50" s="71" t="s">
        <v>146</v>
      </c>
      <c r="D50" s="71" t="s">
        <v>147</v>
      </c>
      <c r="E50" s="71" t="s">
        <v>148</v>
      </c>
      <c r="F50" s="71" t="s">
        <v>149</v>
      </c>
      <c r="G50" s="72" t="s">
        <v>150</v>
      </c>
    </row>
    <row r="51" spans="1:7" ht="17">
      <c r="A51" s="71" t="s">
        <v>151</v>
      </c>
      <c r="B51" s="73">
        <v>46022</v>
      </c>
      <c r="C51" s="73">
        <v>45657</v>
      </c>
      <c r="D51" s="73">
        <v>45291</v>
      </c>
      <c r="E51" s="73">
        <v>44926</v>
      </c>
      <c r="F51" s="73">
        <v>44561</v>
      </c>
      <c r="G51" s="72" t="s">
        <v>150</v>
      </c>
    </row>
    <row r="52" spans="1:7" ht="17.5">
      <c r="A52" s="20" t="s">
        <v>56</v>
      </c>
      <c r="B52" s="7">
        <v>388067308000</v>
      </c>
      <c r="C52" s="7">
        <v>237858537000</v>
      </c>
      <c r="D52" s="7">
        <v>168369604000</v>
      </c>
      <c r="E52" s="7">
        <v>118398495000</v>
      </c>
      <c r="F52" s="7">
        <v>50057345000</v>
      </c>
      <c r="G52" s="74" t="s">
        <v>153</v>
      </c>
    </row>
    <row r="53" spans="1:7" ht="17">
      <c r="A53" s="5" t="s">
        <v>196</v>
      </c>
      <c r="B53" s="7">
        <v>388067308000</v>
      </c>
      <c r="C53" s="7">
        <v>237858537000</v>
      </c>
      <c r="D53" s="7">
        <v>168369604000</v>
      </c>
      <c r="E53" s="7">
        <v>118398495000</v>
      </c>
      <c r="F53" s="7">
        <v>50057345000</v>
      </c>
      <c r="G53" s="74" t="s">
        <v>153</v>
      </c>
    </row>
    <row r="54" spans="1:7" ht="17">
      <c r="A54" s="3" t="s">
        <v>197</v>
      </c>
      <c r="B54" s="4">
        <v>0.63149999999999995</v>
      </c>
      <c r="C54" s="4">
        <v>0.41271999999999998</v>
      </c>
      <c r="D54" s="4">
        <v>0.42205999999999999</v>
      </c>
      <c r="E54" s="4">
        <v>1.3652599999999999</v>
      </c>
      <c r="F54" s="11">
        <v>-6.1240000000000003E-2</v>
      </c>
      <c r="G54" s="75" t="s">
        <v>153</v>
      </c>
    </row>
    <row r="55" spans="1:7" ht="17">
      <c r="A55" s="5" t="s">
        <v>198</v>
      </c>
      <c r="B55" s="7">
        <v>8026679000</v>
      </c>
      <c r="C55" s="7">
        <v>8118035000</v>
      </c>
      <c r="D55" s="7">
        <v>5068706000</v>
      </c>
      <c r="E55" s="7">
        <v>3259867000</v>
      </c>
      <c r="F55" s="7">
        <v>2512634000</v>
      </c>
      <c r="G55" s="74" t="s">
        <v>153</v>
      </c>
    </row>
    <row r="56" spans="1:7" ht="17">
      <c r="A56" s="5" t="s">
        <v>199</v>
      </c>
      <c r="B56" s="7">
        <v>9142778000</v>
      </c>
      <c r="C56" s="7">
        <v>1062759000</v>
      </c>
      <c r="D56" s="7">
        <v>2058067000</v>
      </c>
      <c r="E56" s="7">
        <v>3104668000</v>
      </c>
      <c r="F56" s="7">
        <v>4831109000</v>
      </c>
      <c r="G56" s="74" t="s">
        <v>153</v>
      </c>
    </row>
    <row r="57" spans="1:7" ht="17">
      <c r="A57" s="5" t="s">
        <v>200</v>
      </c>
      <c r="B57" s="7">
        <v>17169457000</v>
      </c>
      <c r="C57" s="7">
        <v>9180794000</v>
      </c>
      <c r="D57" s="7">
        <v>7126773000</v>
      </c>
      <c r="E57" s="7">
        <v>6364535000</v>
      </c>
      <c r="F57" s="7">
        <v>7343743000</v>
      </c>
      <c r="G57" s="74" t="s">
        <v>153</v>
      </c>
    </row>
    <row r="58" spans="1:7" ht="17">
      <c r="A58" s="5" t="s">
        <v>201</v>
      </c>
      <c r="B58" s="7">
        <v>112116985000</v>
      </c>
      <c r="C58" s="7">
        <v>104192035000</v>
      </c>
      <c r="D58" s="7">
        <v>54340615000</v>
      </c>
      <c r="E58" s="7">
        <v>53043073000</v>
      </c>
      <c r="F58" s="7">
        <v>45010127000</v>
      </c>
      <c r="G58" s="74" t="s">
        <v>153</v>
      </c>
    </row>
    <row r="59" spans="1:7" ht="17">
      <c r="A59" s="5" t="s">
        <v>202</v>
      </c>
      <c r="B59" s="7">
        <v>18276752000</v>
      </c>
      <c r="C59" s="7">
        <v>33519519000</v>
      </c>
      <c r="D59" s="8" t="s">
        <v>47</v>
      </c>
      <c r="E59" s="8" t="s">
        <v>47</v>
      </c>
      <c r="F59" s="8" t="s">
        <v>47</v>
      </c>
      <c r="G59" s="74" t="s">
        <v>153</v>
      </c>
    </row>
    <row r="60" spans="1:7" ht="17">
      <c r="A60" s="5" t="s">
        <v>203</v>
      </c>
      <c r="B60" s="7">
        <v>23872480000</v>
      </c>
      <c r="C60" s="7">
        <v>29251991000</v>
      </c>
      <c r="D60" s="7">
        <v>9221780000</v>
      </c>
      <c r="E60" s="7">
        <v>18472567000</v>
      </c>
      <c r="F60" s="7">
        <v>34163669000</v>
      </c>
      <c r="G60" s="74" t="s">
        <v>153</v>
      </c>
    </row>
    <row r="61" spans="1:7" ht="17">
      <c r="A61" s="3" t="s">
        <v>204</v>
      </c>
      <c r="B61" s="22">
        <v>559502982000</v>
      </c>
      <c r="C61" s="22">
        <v>414002876000</v>
      </c>
      <c r="D61" s="22">
        <v>239058772000</v>
      </c>
      <c r="E61" s="22">
        <v>196278670000</v>
      </c>
      <c r="F61" s="22">
        <v>136574884000</v>
      </c>
      <c r="G61" s="75" t="s">
        <v>153</v>
      </c>
    </row>
    <row r="62" spans="1:7" ht="17">
      <c r="A62" s="5" t="s">
        <v>205</v>
      </c>
      <c r="B62" s="7">
        <v>448580376000</v>
      </c>
      <c r="C62" s="7">
        <v>409761374000</v>
      </c>
      <c r="D62" s="7">
        <v>360219497000</v>
      </c>
      <c r="E62" s="7">
        <v>339727319000</v>
      </c>
      <c r="F62" s="7">
        <v>338721748000</v>
      </c>
      <c r="G62" s="74" t="s">
        <v>153</v>
      </c>
    </row>
    <row r="63" spans="1:7" ht="17">
      <c r="A63" s="5" t="s">
        <v>206</v>
      </c>
      <c r="B63" s="7">
        <v>1625889000</v>
      </c>
      <c r="C63" s="7">
        <v>1666681000</v>
      </c>
      <c r="D63" s="7">
        <v>1743322000</v>
      </c>
      <c r="E63" s="7">
        <v>1822364000</v>
      </c>
      <c r="F63" s="7">
        <v>713746000</v>
      </c>
      <c r="G63" s="74" t="s">
        <v>153</v>
      </c>
    </row>
    <row r="64" spans="1:7" ht="17">
      <c r="A64" s="5" t="s">
        <v>207</v>
      </c>
      <c r="B64" s="8" t="s">
        <v>47</v>
      </c>
      <c r="C64" s="8" t="s">
        <v>47</v>
      </c>
      <c r="D64" s="8" t="s">
        <v>47</v>
      </c>
      <c r="E64" s="7">
        <v>2031419000</v>
      </c>
      <c r="F64" s="7">
        <v>15292417000</v>
      </c>
      <c r="G64" s="74" t="s">
        <v>153</v>
      </c>
    </row>
    <row r="65" spans="1:7" ht="17">
      <c r="A65" s="5" t="s">
        <v>208</v>
      </c>
      <c r="B65" s="7">
        <v>198315151000</v>
      </c>
      <c r="C65" s="7">
        <v>165078654000</v>
      </c>
      <c r="D65" s="7">
        <v>80349982000</v>
      </c>
      <c r="E65" s="7">
        <v>60851701000</v>
      </c>
      <c r="F65" s="7">
        <v>35535403000</v>
      </c>
      <c r="G65" s="74" t="s">
        <v>153</v>
      </c>
    </row>
    <row r="66" spans="1:7" ht="17.5">
      <c r="A66" s="18" t="s">
        <v>209</v>
      </c>
      <c r="B66" s="19">
        <v>1208024398000</v>
      </c>
      <c r="C66" s="19">
        <v>990509585000</v>
      </c>
      <c r="D66" s="19">
        <v>681371573000</v>
      </c>
      <c r="E66" s="19">
        <v>600711473000</v>
      </c>
      <c r="F66" s="19">
        <v>526838198000</v>
      </c>
      <c r="G66" s="77" t="s">
        <v>153</v>
      </c>
    </row>
    <row r="67" spans="1:7" ht="17">
      <c r="A67" s="5" t="s">
        <v>210</v>
      </c>
      <c r="B67" s="7">
        <v>86234439000</v>
      </c>
      <c r="C67" s="7">
        <v>102032201000</v>
      </c>
      <c r="D67" s="7">
        <v>47916414000</v>
      </c>
      <c r="E67" s="7">
        <v>26798891000</v>
      </c>
      <c r="F67" s="7">
        <v>17817698000</v>
      </c>
      <c r="G67" s="74" t="s">
        <v>153</v>
      </c>
    </row>
    <row r="68" spans="1:7" ht="17">
      <c r="A68" s="5" t="s">
        <v>211</v>
      </c>
      <c r="B68" s="7">
        <v>34522173000</v>
      </c>
      <c r="C68" s="7">
        <v>16994282000</v>
      </c>
      <c r="D68" s="7">
        <v>16667821000</v>
      </c>
      <c r="E68" s="7">
        <v>11271275000</v>
      </c>
      <c r="F68" s="7">
        <v>9238576000</v>
      </c>
      <c r="G68" s="74" t="s">
        <v>153</v>
      </c>
    </row>
    <row r="69" spans="1:7" ht="17">
      <c r="A69" s="5" t="s">
        <v>212</v>
      </c>
      <c r="B69" s="8" t="s">
        <v>47</v>
      </c>
      <c r="C69" s="8" t="s">
        <v>47</v>
      </c>
      <c r="D69" s="7">
        <v>23553987000</v>
      </c>
      <c r="E69" s="7">
        <v>32460672000</v>
      </c>
      <c r="F69" s="7">
        <v>17004788000</v>
      </c>
      <c r="G69" s="74" t="s">
        <v>153</v>
      </c>
    </row>
    <row r="70" spans="1:7" ht="17">
      <c r="A70" s="5" t="s">
        <v>213</v>
      </c>
      <c r="B70" s="8" t="s">
        <v>47</v>
      </c>
      <c r="C70" s="7">
        <v>210752000</v>
      </c>
      <c r="D70" s="7">
        <v>955581000</v>
      </c>
      <c r="E70" s="7">
        <v>1144964000</v>
      </c>
      <c r="F70" s="7">
        <v>1180186000</v>
      </c>
      <c r="G70" s="74" t="s">
        <v>153</v>
      </c>
    </row>
    <row r="71" spans="1:7" ht="17">
      <c r="A71" s="5" t="s">
        <v>214</v>
      </c>
      <c r="B71" s="7">
        <v>940382000</v>
      </c>
      <c r="C71" s="7">
        <v>1473747000</v>
      </c>
      <c r="D71" s="7">
        <v>481538000</v>
      </c>
      <c r="E71" s="7">
        <v>1456827000</v>
      </c>
      <c r="F71" s="7">
        <v>2620298000</v>
      </c>
      <c r="G71" s="74" t="s">
        <v>153</v>
      </c>
    </row>
    <row r="72" spans="1:7" ht="17">
      <c r="A72" s="5" t="s">
        <v>215</v>
      </c>
      <c r="B72" s="7">
        <v>132312960000</v>
      </c>
      <c r="C72" s="7">
        <v>11432946000</v>
      </c>
      <c r="D72" s="7">
        <v>5659758000</v>
      </c>
      <c r="E72" s="7">
        <v>3887507000</v>
      </c>
      <c r="F72" s="7">
        <v>3824984000</v>
      </c>
      <c r="G72" s="74" t="s">
        <v>153</v>
      </c>
    </row>
    <row r="73" spans="1:7" ht="17">
      <c r="A73" s="5" t="s">
        <v>216</v>
      </c>
      <c r="B73" s="7">
        <v>115946653000</v>
      </c>
      <c r="C73" s="7">
        <v>212460853000</v>
      </c>
      <c r="D73" s="7">
        <v>75144754000</v>
      </c>
      <c r="E73" s="7">
        <v>46281894000</v>
      </c>
      <c r="F73" s="7">
        <v>43688127000</v>
      </c>
      <c r="G73" s="74" t="s">
        <v>153</v>
      </c>
    </row>
    <row r="74" spans="1:7" ht="17">
      <c r="A74" s="5" t="s">
        <v>217</v>
      </c>
      <c r="B74" s="7">
        <v>47406024000</v>
      </c>
      <c r="C74" s="7">
        <v>52497296000</v>
      </c>
      <c r="D74" s="7">
        <v>38583473000</v>
      </c>
      <c r="E74" s="7">
        <v>45080800000</v>
      </c>
      <c r="F74" s="7">
        <v>35678432000</v>
      </c>
      <c r="G74" s="74" t="s">
        <v>153</v>
      </c>
    </row>
    <row r="75" spans="1:7" ht="17">
      <c r="A75" s="3" t="s">
        <v>218</v>
      </c>
      <c r="B75" s="22">
        <v>417362631000</v>
      </c>
      <c r="C75" s="22">
        <v>397102077000</v>
      </c>
      <c r="D75" s="22">
        <v>208963326000</v>
      </c>
      <c r="E75" s="22">
        <v>168382830000</v>
      </c>
      <c r="F75" s="22">
        <v>131053089000</v>
      </c>
      <c r="G75" s="75" t="s">
        <v>153</v>
      </c>
    </row>
    <row r="76" spans="1:7" ht="17">
      <c r="A76" s="5" t="s">
        <v>219</v>
      </c>
      <c r="B76" s="8" t="s">
        <v>47</v>
      </c>
      <c r="C76" s="8" t="s">
        <v>47</v>
      </c>
      <c r="D76" s="7">
        <v>126670000</v>
      </c>
      <c r="E76" s="7">
        <v>1000485000</v>
      </c>
      <c r="F76" s="7">
        <v>2088761000</v>
      </c>
      <c r="G76" s="74" t="s">
        <v>153</v>
      </c>
    </row>
    <row r="77" spans="1:7" ht="17">
      <c r="A77" s="5" t="s">
        <v>220</v>
      </c>
      <c r="B77" s="7">
        <v>367591000</v>
      </c>
      <c r="C77" s="7">
        <v>529641000</v>
      </c>
      <c r="D77" s="7">
        <v>1126736000</v>
      </c>
      <c r="E77" s="7">
        <v>529902000</v>
      </c>
      <c r="F77" s="7">
        <v>393288000</v>
      </c>
      <c r="G77" s="74" t="s">
        <v>153</v>
      </c>
    </row>
    <row r="78" spans="1:7" ht="17">
      <c r="A78" s="5" t="s">
        <v>221</v>
      </c>
      <c r="B78" s="8" t="s">
        <v>47</v>
      </c>
      <c r="C78" s="8" t="s">
        <v>47</v>
      </c>
      <c r="D78" s="7">
        <v>872966000</v>
      </c>
      <c r="E78" s="7">
        <v>1094611000</v>
      </c>
      <c r="F78" s="7">
        <v>1356534000</v>
      </c>
      <c r="G78" s="74" t="s">
        <v>153</v>
      </c>
    </row>
    <row r="79" spans="1:7" ht="17">
      <c r="A79" s="5" t="s">
        <v>222</v>
      </c>
      <c r="B79" s="7">
        <v>3075239000</v>
      </c>
      <c r="C79" s="7">
        <v>2591045000</v>
      </c>
      <c r="D79" s="7">
        <v>2194303000</v>
      </c>
      <c r="E79" s="7">
        <v>2410849000</v>
      </c>
      <c r="F79" s="7">
        <v>2165592000</v>
      </c>
      <c r="G79" s="74" t="s">
        <v>153</v>
      </c>
    </row>
    <row r="80" spans="1:7" ht="17">
      <c r="A80" s="5" t="s">
        <v>223</v>
      </c>
      <c r="B80" s="7">
        <v>77012148000</v>
      </c>
      <c r="C80" s="7">
        <v>71130833000</v>
      </c>
      <c r="D80" s="7">
        <v>30176337000</v>
      </c>
      <c r="E80" s="7">
        <v>8472328000</v>
      </c>
      <c r="F80" s="7">
        <v>9116700000</v>
      </c>
      <c r="G80" s="74" t="s">
        <v>153</v>
      </c>
    </row>
    <row r="81" spans="1:7" ht="17">
      <c r="A81" s="5" t="s">
        <v>224</v>
      </c>
      <c r="B81" s="7">
        <v>16211119000</v>
      </c>
      <c r="C81" s="7">
        <v>14515328000</v>
      </c>
      <c r="D81" s="7">
        <v>2859367000</v>
      </c>
      <c r="E81" s="7">
        <v>2718463000</v>
      </c>
      <c r="F81" s="7">
        <v>2103557000</v>
      </c>
      <c r="G81" s="74" t="s">
        <v>153</v>
      </c>
    </row>
    <row r="82" spans="1:7" ht="17.5">
      <c r="A82" s="18" t="s">
        <v>225</v>
      </c>
      <c r="B82" s="19">
        <v>514028728000</v>
      </c>
      <c r="C82" s="19">
        <v>485868924000</v>
      </c>
      <c r="D82" s="19">
        <v>246319705000</v>
      </c>
      <c r="E82" s="19">
        <v>184609468000</v>
      </c>
      <c r="F82" s="19">
        <v>148277521000</v>
      </c>
      <c r="G82" s="77" t="s">
        <v>153</v>
      </c>
    </row>
    <row r="83" spans="1:7" ht="17">
      <c r="A83" s="5" t="s">
        <v>226</v>
      </c>
      <c r="B83" s="7">
        <v>8053899000</v>
      </c>
      <c r="C83" s="7">
        <v>8053899000</v>
      </c>
      <c r="D83" s="7">
        <v>8053899000</v>
      </c>
      <c r="E83" s="7">
        <v>8053899000</v>
      </c>
      <c r="F83" s="7">
        <v>8053899000</v>
      </c>
      <c r="G83" s="74" t="s">
        <v>153</v>
      </c>
    </row>
    <row r="84" spans="1:7" ht="17">
      <c r="A84" s="5" t="s">
        <v>227</v>
      </c>
      <c r="B84" s="7">
        <v>435148731000</v>
      </c>
      <c r="C84" s="7">
        <v>435148731000</v>
      </c>
      <c r="D84" s="7">
        <v>435148731000</v>
      </c>
      <c r="E84" s="7">
        <v>435148731000</v>
      </c>
      <c r="F84" s="7">
        <v>435148731000</v>
      </c>
      <c r="G84" s="74" t="s">
        <v>153</v>
      </c>
    </row>
    <row r="85" spans="1:7" ht="17">
      <c r="A85" s="5" t="s">
        <v>228</v>
      </c>
      <c r="B85" s="7">
        <v>504922097000</v>
      </c>
      <c r="C85" s="7">
        <v>315567088000</v>
      </c>
      <c r="D85" s="7">
        <v>245978295000</v>
      </c>
      <c r="E85" s="7">
        <v>227028432000</v>
      </c>
      <c r="F85" s="7">
        <v>189487103000</v>
      </c>
      <c r="G85" s="74" t="s">
        <v>153</v>
      </c>
    </row>
    <row r="86" spans="1:7" ht="17">
      <c r="A86" s="5" t="s">
        <v>229</v>
      </c>
      <c r="B86" s="7">
        <v>-254129057000</v>
      </c>
      <c r="C86" s="7">
        <v>-254129057000</v>
      </c>
      <c r="D86" s="7">
        <v>-254129057000</v>
      </c>
      <c r="E86" s="7">
        <v>-254129057000</v>
      </c>
      <c r="F86" s="7">
        <v>-254129056000</v>
      </c>
      <c r="G86" s="74" t="s">
        <v>153</v>
      </c>
    </row>
    <row r="87" spans="1:7" ht="17">
      <c r="A87" s="5" t="s">
        <v>230</v>
      </c>
      <c r="B87" s="7">
        <v>693995670000</v>
      </c>
      <c r="C87" s="7">
        <v>504640661000</v>
      </c>
      <c r="D87" s="7">
        <v>435051868000</v>
      </c>
      <c r="E87" s="7">
        <v>416102005000</v>
      </c>
      <c r="F87" s="7">
        <v>378560677000</v>
      </c>
      <c r="G87" s="74" t="s">
        <v>153</v>
      </c>
    </row>
    <row r="88" spans="1:7" ht="17.5">
      <c r="A88" s="20" t="s">
        <v>49</v>
      </c>
      <c r="B88" s="21">
        <v>693995670000</v>
      </c>
      <c r="C88" s="21">
        <v>504640661000</v>
      </c>
      <c r="D88" s="21">
        <v>435051868000</v>
      </c>
      <c r="E88" s="21">
        <v>416102005000</v>
      </c>
      <c r="F88" s="21">
        <v>378560677000</v>
      </c>
      <c r="G88" s="74" t="s">
        <v>153</v>
      </c>
    </row>
    <row r="89" spans="1:7" ht="17">
      <c r="A89" s="3" t="s">
        <v>231</v>
      </c>
      <c r="B89" s="22">
        <v>1208024398000</v>
      </c>
      <c r="C89" s="22">
        <v>990509585000</v>
      </c>
      <c r="D89" s="22">
        <v>681371573000</v>
      </c>
      <c r="E89" s="22">
        <v>600711473000</v>
      </c>
      <c r="F89" s="22">
        <v>526838198000</v>
      </c>
      <c r="G89" s="75" t="s">
        <v>153</v>
      </c>
    </row>
    <row r="90" spans="1:7" s="2" customFormat="1" ht="17">
      <c r="A90" s="5" t="s">
        <v>232</v>
      </c>
      <c r="B90" s="7">
        <v>1307973000</v>
      </c>
      <c r="C90" s="7">
        <v>2214140000</v>
      </c>
      <c r="D90" s="7">
        <v>26244512000</v>
      </c>
      <c r="E90" s="7">
        <v>36592850000</v>
      </c>
      <c r="F90" s="7">
        <v>23287321000</v>
      </c>
      <c r="G90" s="74" t="s">
        <v>153</v>
      </c>
    </row>
    <row r="91" spans="1:7" ht="17">
      <c r="A91" s="5" t="s">
        <v>233</v>
      </c>
      <c r="B91" s="7">
        <v>386759335000</v>
      </c>
      <c r="C91" s="7">
        <v>235644397000</v>
      </c>
      <c r="D91" s="7">
        <v>142125092000</v>
      </c>
      <c r="E91" s="7">
        <v>81805645000</v>
      </c>
      <c r="F91" s="7">
        <v>26770024000</v>
      </c>
      <c r="G91" s="74" t="s">
        <v>153</v>
      </c>
    </row>
    <row r="92" spans="1:7" ht="17">
      <c r="A92" s="5" t="s">
        <v>234</v>
      </c>
      <c r="B92" s="9">
        <v>0.64127999999999996</v>
      </c>
      <c r="C92" s="9">
        <v>0.65800999999999998</v>
      </c>
      <c r="D92" s="9">
        <v>0.73734999999999995</v>
      </c>
      <c r="E92" s="9">
        <v>2.0558700000000001</v>
      </c>
      <c r="F92" s="9">
        <v>6.4565200000000003</v>
      </c>
      <c r="G92" s="74" t="s">
        <v>153</v>
      </c>
    </row>
    <row r="93" spans="1:7" ht="17">
      <c r="A93" s="3" t="s">
        <v>235</v>
      </c>
      <c r="B93" s="12">
        <v>24.010999999999999</v>
      </c>
      <c r="C93" s="12">
        <v>14.629</v>
      </c>
      <c r="D93" s="12">
        <v>8.8230000000000004</v>
      </c>
      <c r="E93" s="12">
        <v>5.0789999999999997</v>
      </c>
      <c r="F93" s="12">
        <v>1.6619999999999999</v>
      </c>
      <c r="G93" s="75" t="s">
        <v>153</v>
      </c>
    </row>
    <row r="94" spans="1:7" ht="17">
      <c r="A94" s="5" t="s">
        <v>236</v>
      </c>
      <c r="B94" s="7">
        <v>16107795721</v>
      </c>
      <c r="C94" s="7">
        <v>16107795721</v>
      </c>
      <c r="D94" s="7">
        <v>16107795721</v>
      </c>
      <c r="E94" s="7">
        <v>16107795721</v>
      </c>
      <c r="F94" s="7">
        <v>16107795721</v>
      </c>
      <c r="G94" s="74" t="s">
        <v>153</v>
      </c>
    </row>
    <row r="95" spans="1:7" ht="17">
      <c r="A95" s="3" t="s">
        <v>237</v>
      </c>
      <c r="B95" s="22">
        <v>16107795721</v>
      </c>
      <c r="C95" s="22">
        <v>16107795721</v>
      </c>
      <c r="D95" s="22">
        <v>16107795721</v>
      </c>
      <c r="E95" s="22">
        <v>16107795721</v>
      </c>
      <c r="F95" s="22">
        <v>16107795721</v>
      </c>
      <c r="G95" s="75" t="s">
        <v>153</v>
      </c>
    </row>
    <row r="96" spans="1:7" ht="17">
      <c r="A96" s="5" t="s">
        <v>238</v>
      </c>
      <c r="B96" s="7">
        <v>142140351000</v>
      </c>
      <c r="C96" s="7">
        <v>16900799000</v>
      </c>
      <c r="D96" s="7">
        <v>30095446000</v>
      </c>
      <c r="E96" s="7">
        <v>27895840000</v>
      </c>
      <c r="F96" s="7">
        <v>5521795000</v>
      </c>
      <c r="G96" s="74" t="s">
        <v>153</v>
      </c>
    </row>
    <row r="97" spans="1:11" ht="17">
      <c r="A97" s="5" t="s">
        <v>239</v>
      </c>
      <c r="B97" s="6">
        <v>43.084000000000003</v>
      </c>
      <c r="C97" s="6">
        <v>31.329000000000001</v>
      </c>
      <c r="D97" s="6">
        <v>27.009</v>
      </c>
      <c r="E97" s="6">
        <v>25.832000000000001</v>
      </c>
      <c r="F97" s="6">
        <v>23.501999999999999</v>
      </c>
      <c r="G97" s="74" t="s">
        <v>153</v>
      </c>
    </row>
    <row r="98" spans="1:11" ht="17">
      <c r="A98" s="5" t="s">
        <v>240</v>
      </c>
      <c r="B98" s="7">
        <v>692369781000</v>
      </c>
      <c r="C98" s="7">
        <v>502973980000</v>
      </c>
      <c r="D98" s="7">
        <v>433308546000</v>
      </c>
      <c r="E98" s="7">
        <v>414279641000</v>
      </c>
      <c r="F98" s="7">
        <v>377846931000</v>
      </c>
      <c r="G98" s="74" t="s">
        <v>153</v>
      </c>
    </row>
    <row r="99" spans="1:11" ht="17">
      <c r="A99" s="3" t="s">
        <v>241</v>
      </c>
      <c r="B99" s="12">
        <v>42.984000000000002</v>
      </c>
      <c r="C99" s="12">
        <v>31.225999999999999</v>
      </c>
      <c r="D99" s="12">
        <v>26.901</v>
      </c>
      <c r="E99" s="12">
        <v>25.719000000000001</v>
      </c>
      <c r="F99" s="12">
        <v>23.457000000000001</v>
      </c>
      <c r="G99" s="75" t="s">
        <v>153</v>
      </c>
    </row>
    <row r="100" spans="1:11" ht="17">
      <c r="A100" s="5" t="s">
        <v>242</v>
      </c>
      <c r="B100" s="7">
        <v>15867515000</v>
      </c>
      <c r="C100" s="7">
        <v>14678145000</v>
      </c>
      <c r="D100" s="7">
        <v>15123324000</v>
      </c>
      <c r="E100" s="7">
        <v>15107938000</v>
      </c>
      <c r="F100" s="7">
        <v>14866389000</v>
      </c>
      <c r="G100" s="74" t="s">
        <v>153</v>
      </c>
    </row>
    <row r="101" spans="1:11" ht="17">
      <c r="A101" s="5" t="s">
        <v>243</v>
      </c>
      <c r="B101" s="7">
        <v>152261792000</v>
      </c>
      <c r="C101" s="7">
        <v>146426998000</v>
      </c>
      <c r="D101" s="7">
        <v>122147751000</v>
      </c>
      <c r="E101" s="7">
        <v>118308191000</v>
      </c>
      <c r="F101" s="7">
        <v>116321154000</v>
      </c>
      <c r="G101" s="74" t="s">
        <v>153</v>
      </c>
    </row>
    <row r="102" spans="1:11" ht="17">
      <c r="A102" s="5" t="s">
        <v>244</v>
      </c>
      <c r="B102" s="7">
        <v>504163340000</v>
      </c>
      <c r="C102" s="7">
        <v>429752345000</v>
      </c>
      <c r="D102" s="7">
        <v>399088236000</v>
      </c>
      <c r="E102" s="7">
        <v>376806149000</v>
      </c>
      <c r="F102" s="7">
        <v>357167731000</v>
      </c>
      <c r="G102" s="74" t="s">
        <v>153</v>
      </c>
    </row>
    <row r="105" spans="1:11">
      <c r="A105" s="2" t="s">
        <v>245</v>
      </c>
    </row>
    <row r="106" spans="1:11" ht="17">
      <c r="A106" s="71" t="s">
        <v>144</v>
      </c>
      <c r="B106" s="71" t="s">
        <v>145</v>
      </c>
      <c r="C106" s="71" t="s">
        <v>146</v>
      </c>
      <c r="D106" s="71" t="s">
        <v>147</v>
      </c>
      <c r="E106" s="71" t="s">
        <v>148</v>
      </c>
      <c r="F106" s="71" t="s">
        <v>149</v>
      </c>
      <c r="G106" s="72" t="s">
        <v>150</v>
      </c>
      <c r="K106">
        <v>1000</v>
      </c>
    </row>
    <row r="107" spans="1:11" ht="17">
      <c r="A107" s="71" t="s">
        <v>151</v>
      </c>
      <c r="B107" s="73">
        <v>46022</v>
      </c>
      <c r="C107" s="73">
        <v>45657</v>
      </c>
      <c r="D107" s="73">
        <v>45291</v>
      </c>
      <c r="E107" s="73">
        <v>44926</v>
      </c>
      <c r="F107" s="73">
        <v>44561</v>
      </c>
      <c r="G107" s="72" t="s">
        <v>150</v>
      </c>
    </row>
    <row r="108" spans="1:11" ht="17">
      <c r="A108" s="5" t="s">
        <v>174</v>
      </c>
      <c r="B108" s="7">
        <v>273120312000</v>
      </c>
      <c r="C108" s="7">
        <v>100145282000</v>
      </c>
      <c r="D108" s="7">
        <v>51141070000</v>
      </c>
      <c r="E108" s="7">
        <v>53647456000</v>
      </c>
      <c r="F108" s="7">
        <v>51003549000</v>
      </c>
      <c r="G108" s="74" t="s">
        <v>153</v>
      </c>
    </row>
    <row r="109" spans="1:11" ht="17">
      <c r="A109" s="5" t="s">
        <v>246</v>
      </c>
      <c r="B109" s="7">
        <v>34815712000</v>
      </c>
      <c r="C109" s="7">
        <v>29366911000</v>
      </c>
      <c r="D109" s="7">
        <v>27245558000</v>
      </c>
      <c r="E109" s="7">
        <v>24784252000</v>
      </c>
      <c r="F109" s="7">
        <v>32657255000</v>
      </c>
      <c r="G109" s="74" t="s">
        <v>153</v>
      </c>
    </row>
    <row r="110" spans="1:11" ht="17">
      <c r="A110" s="5" t="s">
        <v>247</v>
      </c>
      <c r="B110" s="7">
        <v>9497000</v>
      </c>
      <c r="C110" s="7">
        <v>9498000</v>
      </c>
      <c r="D110" s="7">
        <v>48448000</v>
      </c>
      <c r="E110" s="7">
        <v>622564000</v>
      </c>
      <c r="F110" s="8" t="s">
        <v>47</v>
      </c>
      <c r="G110" s="74" t="s">
        <v>153</v>
      </c>
    </row>
    <row r="111" spans="1:11" ht="17">
      <c r="A111" s="5" t="s">
        <v>248</v>
      </c>
      <c r="B111" s="7">
        <v>-229941000</v>
      </c>
      <c r="C111" s="7">
        <v>-965959000</v>
      </c>
      <c r="D111" s="7">
        <v>-404970000</v>
      </c>
      <c r="E111" s="7">
        <v>-24597000</v>
      </c>
      <c r="F111" s="7">
        <v>-89742000</v>
      </c>
      <c r="G111" s="74" t="s">
        <v>153</v>
      </c>
    </row>
    <row r="112" spans="1:11" ht="17">
      <c r="A112" s="5" t="s">
        <v>249</v>
      </c>
      <c r="B112" s="7">
        <v>677190000</v>
      </c>
      <c r="C112" s="7">
        <v>-4347753000</v>
      </c>
      <c r="D112" s="8" t="s">
        <v>47</v>
      </c>
      <c r="E112" s="8" t="s">
        <v>47</v>
      </c>
      <c r="F112" s="7">
        <v>4802130000</v>
      </c>
      <c r="G112" s="74" t="s">
        <v>153</v>
      </c>
    </row>
    <row r="113" spans="1:7" ht="17">
      <c r="A113" s="5" t="s">
        <v>250</v>
      </c>
      <c r="B113" s="8" t="s">
        <v>47</v>
      </c>
      <c r="C113" s="8" t="s">
        <v>47</v>
      </c>
      <c r="D113" s="8" t="s">
        <v>47</v>
      </c>
      <c r="E113" s="8" t="s">
        <v>47</v>
      </c>
      <c r="F113" s="7">
        <v>-133922000</v>
      </c>
      <c r="G113" s="74" t="s">
        <v>153</v>
      </c>
    </row>
    <row r="114" spans="1:7" ht="17">
      <c r="A114" s="5" t="s">
        <v>251</v>
      </c>
      <c r="B114" s="8" t="s">
        <v>47</v>
      </c>
      <c r="C114" s="8" t="s">
        <v>47</v>
      </c>
      <c r="D114" s="8" t="s">
        <v>47</v>
      </c>
      <c r="E114" s="8" t="s">
        <v>47</v>
      </c>
      <c r="F114" s="7">
        <v>-683310000</v>
      </c>
      <c r="G114" s="74" t="s">
        <v>153</v>
      </c>
    </row>
    <row r="115" spans="1:7" ht="17">
      <c r="A115" s="5" t="s">
        <v>252</v>
      </c>
      <c r="B115" s="8" t="s">
        <v>47</v>
      </c>
      <c r="C115" s="8" t="s">
        <v>47</v>
      </c>
      <c r="D115" s="7">
        <v>31714000</v>
      </c>
      <c r="E115" s="7">
        <v>431169000</v>
      </c>
      <c r="F115" s="7">
        <v>25603000</v>
      </c>
      <c r="G115" s="74" t="s">
        <v>153</v>
      </c>
    </row>
    <row r="116" spans="1:7" ht="17">
      <c r="A116" s="5" t="s">
        <v>253</v>
      </c>
      <c r="B116" s="7">
        <v>113870805000</v>
      </c>
      <c r="C116" s="7">
        <v>62177179000</v>
      </c>
      <c r="D116" s="7">
        <v>39891196000</v>
      </c>
      <c r="E116" s="7">
        <v>19854910000</v>
      </c>
      <c r="F116" s="7">
        <v>10143479000</v>
      </c>
      <c r="G116" s="74" t="s">
        <v>153</v>
      </c>
    </row>
    <row r="117" spans="1:7" ht="17">
      <c r="A117" s="5" t="s">
        <v>254</v>
      </c>
      <c r="B117" s="7">
        <v>-3227962000</v>
      </c>
      <c r="C117" s="7">
        <v>-2072435000</v>
      </c>
      <c r="D117" s="7">
        <v>-1527984000</v>
      </c>
      <c r="E117" s="7">
        <v>411760000</v>
      </c>
      <c r="F117" s="7">
        <v>-2193445000</v>
      </c>
      <c r="G117" s="74" t="s">
        <v>153</v>
      </c>
    </row>
    <row r="118" spans="1:7" ht="17">
      <c r="A118" s="5" t="s">
        <v>255</v>
      </c>
      <c r="B118" s="7">
        <v>-7924950000</v>
      </c>
      <c r="C118" s="7">
        <v>-49851420000</v>
      </c>
      <c r="D118" s="7">
        <v>81195000</v>
      </c>
      <c r="E118" s="7">
        <v>-9597784000</v>
      </c>
      <c r="F118" s="7">
        <v>-13955936000</v>
      </c>
      <c r="G118" s="74" t="s">
        <v>153</v>
      </c>
    </row>
    <row r="119" spans="1:7" ht="17">
      <c r="A119" s="5" t="s">
        <v>256</v>
      </c>
      <c r="B119" s="7">
        <v>-5429500000</v>
      </c>
      <c r="C119" s="7">
        <v>80776155000</v>
      </c>
      <c r="D119" s="7">
        <v>14921981000</v>
      </c>
      <c r="E119" s="7">
        <v>17415510000</v>
      </c>
      <c r="F119" s="7">
        <v>-198838000</v>
      </c>
      <c r="G119" s="74" t="s">
        <v>153</v>
      </c>
    </row>
    <row r="120" spans="1:7" ht="17">
      <c r="A120" s="5" t="s">
        <v>257</v>
      </c>
      <c r="B120" s="7">
        <v>-96508547000</v>
      </c>
      <c r="C120" s="7">
        <v>137472556000</v>
      </c>
      <c r="D120" s="7">
        <v>28962674000</v>
      </c>
      <c r="E120" s="7">
        <v>2658317000</v>
      </c>
      <c r="F120" s="7">
        <v>20626473000</v>
      </c>
      <c r="G120" s="74" t="s">
        <v>153</v>
      </c>
    </row>
    <row r="121" spans="1:7" ht="17">
      <c r="A121" s="5" t="s">
        <v>258</v>
      </c>
      <c r="B121" s="7">
        <v>-16543617000</v>
      </c>
      <c r="C121" s="7">
        <v>-138583442000</v>
      </c>
      <c r="D121" s="7">
        <v>-9493717000</v>
      </c>
      <c r="E121" s="7">
        <v>-9488918000</v>
      </c>
      <c r="F121" s="7">
        <v>-29386256000</v>
      </c>
      <c r="G121" s="74" t="s">
        <v>153</v>
      </c>
    </row>
    <row r="122" spans="1:7" ht="17">
      <c r="A122" s="5" t="s">
        <v>259</v>
      </c>
      <c r="B122" s="7">
        <v>292628999000</v>
      </c>
      <c r="C122" s="7">
        <v>214126572000</v>
      </c>
      <c r="D122" s="7">
        <v>150897165000</v>
      </c>
      <c r="E122" s="7">
        <v>100714639000</v>
      </c>
      <c r="F122" s="7">
        <v>72617040000</v>
      </c>
      <c r="G122" s="74" t="s">
        <v>153</v>
      </c>
    </row>
    <row r="123" spans="1:7" ht="17">
      <c r="A123" s="5" t="s">
        <v>260</v>
      </c>
      <c r="B123" s="9">
        <v>0.36662</v>
      </c>
      <c r="C123" s="9">
        <v>0.41902</v>
      </c>
      <c r="D123" s="9">
        <v>0.49825999999999998</v>
      </c>
      <c r="E123" s="9">
        <v>0.38693</v>
      </c>
      <c r="F123" s="9">
        <v>0.13935</v>
      </c>
      <c r="G123" s="74" t="s">
        <v>153</v>
      </c>
    </row>
    <row r="124" spans="1:7" ht="17">
      <c r="A124" s="5" t="s">
        <v>261</v>
      </c>
      <c r="B124" s="7">
        <v>-74609703000</v>
      </c>
      <c r="C124" s="7">
        <v>-74667895000</v>
      </c>
      <c r="D124" s="7">
        <v>-41488938000</v>
      </c>
      <c r="E124" s="7">
        <v>-23253811000</v>
      </c>
      <c r="F124" s="7">
        <v>-22575810000</v>
      </c>
      <c r="G124" s="76" t="s">
        <v>153</v>
      </c>
    </row>
    <row r="125" spans="1:7" ht="17">
      <c r="A125" s="5" t="s">
        <v>262</v>
      </c>
      <c r="B125" s="7">
        <v>229941000</v>
      </c>
      <c r="C125" s="7">
        <v>1233759000</v>
      </c>
      <c r="D125" s="8" t="s">
        <v>47</v>
      </c>
      <c r="E125" s="7">
        <v>68869000</v>
      </c>
      <c r="F125" s="7">
        <v>15647000</v>
      </c>
      <c r="G125" s="74" t="s">
        <v>153</v>
      </c>
    </row>
    <row r="126" spans="1:7" ht="17">
      <c r="A126" s="5" t="s">
        <v>263</v>
      </c>
      <c r="B126" s="8" t="s">
        <v>47</v>
      </c>
      <c r="C126" s="8" t="s">
        <v>47</v>
      </c>
      <c r="D126" s="8" t="s">
        <v>47</v>
      </c>
      <c r="E126" s="8" t="s">
        <v>47</v>
      </c>
      <c r="F126" s="7">
        <v>1211419000</v>
      </c>
      <c r="G126" s="74" t="s">
        <v>153</v>
      </c>
    </row>
    <row r="127" spans="1:7" ht="17">
      <c r="A127" s="5" t="s">
        <v>264</v>
      </c>
      <c r="B127" s="7">
        <v>25079530000</v>
      </c>
      <c r="C127" s="7">
        <v>2061684000</v>
      </c>
      <c r="D127" s="7">
        <v>4653535000</v>
      </c>
      <c r="E127" s="7">
        <v>1486857000</v>
      </c>
      <c r="F127" s="7">
        <v>3458135000</v>
      </c>
      <c r="G127" s="74" t="s">
        <v>153</v>
      </c>
    </row>
    <row r="128" spans="1:7" ht="17">
      <c r="A128" s="3" t="s">
        <v>265</v>
      </c>
      <c r="B128" s="22">
        <v>-49300232000</v>
      </c>
      <c r="C128" s="22">
        <v>-71372452000</v>
      </c>
      <c r="D128" s="22">
        <v>-36835403000</v>
      </c>
      <c r="E128" s="22">
        <v>-21698085000</v>
      </c>
      <c r="F128" s="22">
        <v>-17890609000</v>
      </c>
      <c r="G128" s="75" t="s">
        <v>153</v>
      </c>
    </row>
    <row r="129" spans="1:7" ht="17">
      <c r="A129" s="5" t="s">
        <v>266</v>
      </c>
      <c r="B129" s="8" t="s">
        <v>47</v>
      </c>
      <c r="C129" s="7">
        <v>2163713000</v>
      </c>
      <c r="D129" s="7">
        <v>25095999000</v>
      </c>
      <c r="E129" s="7">
        <v>27125828000</v>
      </c>
      <c r="F129" s="7">
        <v>15717396000</v>
      </c>
      <c r="G129" s="74" t="s">
        <v>153</v>
      </c>
    </row>
    <row r="130" spans="1:7" ht="17">
      <c r="A130" s="5" t="s">
        <v>267</v>
      </c>
      <c r="B130" s="7">
        <v>-926146000</v>
      </c>
      <c r="C130" s="7">
        <v>-29850830000</v>
      </c>
      <c r="D130" s="7">
        <v>-38683652000</v>
      </c>
      <c r="E130" s="7">
        <v>-21976156000</v>
      </c>
      <c r="F130" s="7">
        <v>-43254757000</v>
      </c>
      <c r="G130" s="74" t="s">
        <v>153</v>
      </c>
    </row>
    <row r="131" spans="1:7" ht="17">
      <c r="A131" s="5" t="s">
        <v>268</v>
      </c>
      <c r="B131" s="7">
        <v>-926146000</v>
      </c>
      <c r="C131" s="7">
        <v>-27687117000</v>
      </c>
      <c r="D131" s="7">
        <v>-13587653000</v>
      </c>
      <c r="E131" s="7">
        <v>5149672000</v>
      </c>
      <c r="F131" s="7">
        <v>-27537361000</v>
      </c>
      <c r="G131" s="74" t="s">
        <v>153</v>
      </c>
    </row>
    <row r="132" spans="1:7" ht="17">
      <c r="A132" s="5" t="s">
        <v>269</v>
      </c>
      <c r="B132" s="7">
        <v>-83760538000</v>
      </c>
      <c r="C132" s="7">
        <v>-30604812000</v>
      </c>
      <c r="D132" s="7">
        <v>-47288742000</v>
      </c>
      <c r="E132" s="7">
        <v>-14535057000</v>
      </c>
      <c r="F132" s="7">
        <v>-27310008000</v>
      </c>
      <c r="G132" s="74" t="s">
        <v>153</v>
      </c>
    </row>
    <row r="133" spans="1:7" ht="17">
      <c r="A133" s="5" t="s">
        <v>270</v>
      </c>
      <c r="B133" s="7">
        <v>-8578062000</v>
      </c>
      <c r="C133" s="7">
        <v>-16571119000</v>
      </c>
      <c r="D133" s="7">
        <v>-4736436000</v>
      </c>
      <c r="E133" s="7">
        <v>-2165640000</v>
      </c>
      <c r="F133" s="7">
        <v>-5223520000</v>
      </c>
      <c r="G133" s="74" t="s">
        <v>153</v>
      </c>
    </row>
    <row r="134" spans="1:7" ht="17">
      <c r="A134" s="3" t="s">
        <v>271</v>
      </c>
      <c r="B134" s="22">
        <v>-93264746000</v>
      </c>
      <c r="C134" s="22">
        <v>-74863048000</v>
      </c>
      <c r="D134" s="22">
        <v>-65612831000</v>
      </c>
      <c r="E134" s="22">
        <v>-11551025000</v>
      </c>
      <c r="F134" s="22">
        <v>-60070889000</v>
      </c>
      <c r="G134" s="75" t="s">
        <v>153</v>
      </c>
    </row>
    <row r="135" spans="1:7" ht="17">
      <c r="A135" s="5" t="s">
        <v>272</v>
      </c>
      <c r="B135" s="7">
        <v>-319691000</v>
      </c>
      <c r="C135" s="7">
        <v>1494827000</v>
      </c>
      <c r="D135" s="7">
        <v>633850000</v>
      </c>
      <c r="E135" s="7">
        <v>670140000</v>
      </c>
      <c r="F135" s="7">
        <v>1913657000</v>
      </c>
      <c r="G135" s="74" t="s">
        <v>153</v>
      </c>
    </row>
    <row r="136" spans="1:7" ht="17">
      <c r="A136" s="5" t="s">
        <v>273</v>
      </c>
      <c r="B136" s="7">
        <v>-1000</v>
      </c>
      <c r="C136" s="7">
        <v>-1000</v>
      </c>
      <c r="D136" s="8" t="s">
        <v>47</v>
      </c>
      <c r="E136" s="7">
        <v>1000</v>
      </c>
      <c r="F136" s="8" t="s">
        <v>47</v>
      </c>
      <c r="G136" s="74" t="s">
        <v>153</v>
      </c>
    </row>
    <row r="137" spans="1:7" ht="17">
      <c r="A137" s="3" t="s">
        <v>274</v>
      </c>
      <c r="B137" s="22">
        <v>149744329000</v>
      </c>
      <c r="C137" s="22">
        <v>69385898000</v>
      </c>
      <c r="D137" s="22">
        <v>49082781000</v>
      </c>
      <c r="E137" s="22">
        <v>68135670000</v>
      </c>
      <c r="F137" s="22">
        <v>-3430801000</v>
      </c>
      <c r="G137" s="75" t="s">
        <v>153</v>
      </c>
    </row>
    <row r="138" spans="1:7" ht="17">
      <c r="A138" s="5" t="s">
        <v>182</v>
      </c>
      <c r="B138" s="7">
        <v>218019296000</v>
      </c>
      <c r="C138" s="7">
        <v>139458677000</v>
      </c>
      <c r="D138" s="7">
        <v>109408227000</v>
      </c>
      <c r="E138" s="7">
        <v>77460828000</v>
      </c>
      <c r="F138" s="7">
        <v>50041230000</v>
      </c>
      <c r="G138" s="74" t="s">
        <v>153</v>
      </c>
    </row>
    <row r="139" spans="1:7" ht="17">
      <c r="A139" s="5" t="s">
        <v>275</v>
      </c>
      <c r="B139" s="9">
        <v>0.56333</v>
      </c>
      <c r="C139" s="9">
        <v>0.27466000000000002</v>
      </c>
      <c r="D139" s="9">
        <v>0.41243000000000002</v>
      </c>
      <c r="E139" s="9">
        <v>0.54793999999999998</v>
      </c>
      <c r="F139" s="10">
        <v>-6.9860000000000005E-2</v>
      </c>
      <c r="G139" s="74" t="s">
        <v>153</v>
      </c>
    </row>
    <row r="140" spans="1:7" ht="17">
      <c r="A140" s="5" t="s">
        <v>189</v>
      </c>
      <c r="B140" s="14">
        <v>0.20446</v>
      </c>
      <c r="C140" s="14">
        <v>0.20014999999999999</v>
      </c>
      <c r="D140" s="14">
        <v>0.26980999999999999</v>
      </c>
      <c r="E140" s="14">
        <v>0.20752999999999999</v>
      </c>
      <c r="F140" s="14">
        <v>0.17074</v>
      </c>
      <c r="G140" s="74" t="s">
        <v>153</v>
      </c>
    </row>
    <row r="141" spans="1:7" ht="17">
      <c r="A141" s="3" t="s">
        <v>183</v>
      </c>
      <c r="B141" s="12">
        <v>13.535</v>
      </c>
      <c r="C141" s="12">
        <v>8.6579999999999995</v>
      </c>
      <c r="D141" s="12">
        <v>6.7919999999999998</v>
      </c>
      <c r="E141" s="12">
        <v>4.8090000000000002</v>
      </c>
      <c r="F141" s="12">
        <v>3.1070000000000002</v>
      </c>
      <c r="G141" s="75" t="s">
        <v>153</v>
      </c>
    </row>
    <row r="142" spans="1:7" ht="17">
      <c r="A142" s="5" t="s">
        <v>276</v>
      </c>
      <c r="B142" s="7">
        <v>8578062000</v>
      </c>
      <c r="C142" s="7">
        <v>16571119000</v>
      </c>
      <c r="D142" s="7">
        <v>4736436000</v>
      </c>
      <c r="E142" s="7">
        <v>2165640000</v>
      </c>
      <c r="F142" s="7">
        <v>5223520000</v>
      </c>
      <c r="G142" s="76" t="s">
        <v>153</v>
      </c>
    </row>
    <row r="143" spans="1:7" ht="17">
      <c r="A143" s="5" t="s">
        <v>277</v>
      </c>
      <c r="B143" s="7">
        <v>10486696000</v>
      </c>
      <c r="C143" s="7">
        <v>5689856000</v>
      </c>
      <c r="D143" s="7">
        <v>3802646000</v>
      </c>
      <c r="E143" s="7">
        <v>3418812000</v>
      </c>
      <c r="F143" s="7">
        <v>2728831000</v>
      </c>
      <c r="G143" s="74" t="s">
        <v>153</v>
      </c>
    </row>
    <row r="144" spans="1:7" ht="17">
      <c r="A144" s="5" t="s">
        <v>278</v>
      </c>
      <c r="B144" s="7">
        <v>228374562625</v>
      </c>
      <c r="C144" s="7">
        <v>176892878500</v>
      </c>
      <c r="D144" s="7">
        <v>106781581750</v>
      </c>
      <c r="E144" s="7">
        <v>85818703375</v>
      </c>
      <c r="F144" s="7">
        <v>41703579500</v>
      </c>
      <c r="G144" s="76" t="s">
        <v>153</v>
      </c>
    </row>
    <row r="145" spans="1:7" ht="17">
      <c r="A145" s="5" t="s">
        <v>279</v>
      </c>
      <c r="B145" s="7">
        <v>228534762625</v>
      </c>
      <c r="C145" s="7">
        <v>177785739125</v>
      </c>
      <c r="D145" s="7">
        <v>107133079875</v>
      </c>
      <c r="E145" s="7">
        <v>86297992125</v>
      </c>
      <c r="F145" s="7">
        <v>44055929500</v>
      </c>
      <c r="G145" s="74" t="s">
        <v>153</v>
      </c>
    </row>
    <row r="146" spans="1:7" ht="17">
      <c r="A146" s="16" t="s">
        <v>14</v>
      </c>
      <c r="B146" s="1">
        <v>-129634576000</v>
      </c>
      <c r="C146" s="1">
        <v>27741414000</v>
      </c>
      <c r="D146" s="1">
        <v>32944149000</v>
      </c>
      <c r="E146" s="1">
        <v>1398885000</v>
      </c>
      <c r="F146" s="1">
        <v>-25108002000</v>
      </c>
      <c r="G146" s="78" t="s">
        <v>153</v>
      </c>
    </row>
  </sheetData>
  <hyperlinks>
    <hyperlink ref="A3" r:id="rId1" xr:uid="{1D19CA9B-A6D0-412E-A5DF-2A8BCC90DA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RESEARCH-TAIWO</dc:creator>
  <cp:keywords/>
  <dc:description/>
  <cp:lastModifiedBy>Taiwo Layonu</cp:lastModifiedBy>
  <cp:revision/>
  <dcterms:created xsi:type="dcterms:W3CDTF">2026-04-14T12:35:18Z</dcterms:created>
  <dcterms:modified xsi:type="dcterms:W3CDTF">2026-04-19T17:37:53Z</dcterms:modified>
  <cp:category/>
  <cp:contentStatus/>
</cp:coreProperties>
</file>